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James\Desktop\"/>
    </mc:Choice>
  </mc:AlternateContent>
  <xr:revisionPtr revIDLastSave="0" documentId="13_ncr:1_{5A3606F2-F8D0-4B0B-9718-66A4CADC42B8}" xr6:coauthVersionLast="47" xr6:coauthVersionMax="47" xr10:uidLastSave="{00000000-0000-0000-0000-000000000000}"/>
  <bookViews>
    <workbookView xWindow="28680" yWindow="-120" windowWidth="29040" windowHeight="16440" activeTab="7" xr2:uid="{00000000-000D-0000-FFFF-FFFF00000000}"/>
  </bookViews>
  <sheets>
    <sheet name="Formulas" sheetId="6" r:id="rId1"/>
    <sheet name="Basic Range Equation" sheetId="10" r:id="rId2"/>
    <sheet name="Basic SNR Equation" sheetId="11" r:id="rId3"/>
    <sheet name="Find RF" sheetId="7" r:id="rId4"/>
    <sheet name="Planar Antenna Gain" sheetId="22" r:id="rId5"/>
    <sheet name="Losses" sheetId="13" r:id="rId6"/>
    <sheet name="Time on Target" sheetId="18" r:id="rId7"/>
    <sheet name="Doppler Resolution" sheetId="19" r:id="rId8"/>
  </sheets>
  <calcPr calcId="181029"/>
</workbook>
</file>

<file path=xl/calcChain.xml><?xml version="1.0" encoding="utf-8"?>
<calcChain xmlns="http://schemas.openxmlformats.org/spreadsheetml/2006/main">
  <c r="B23" i="22" l="1"/>
  <c r="B22" i="22"/>
  <c r="B21" i="22"/>
  <c r="B20" i="22"/>
  <c r="B19" i="22"/>
  <c r="B18" i="22"/>
  <c r="B15" i="22"/>
  <c r="B14" i="22"/>
  <c r="B13" i="22"/>
  <c r="B12" i="22"/>
  <c r="B11" i="22"/>
  <c r="B10" i="22"/>
  <c r="B28" i="22"/>
  <c r="D27" i="11"/>
  <c r="F27" i="11"/>
  <c r="L3" i="11"/>
  <c r="I38" i="11"/>
  <c r="B27" i="19"/>
  <c r="D28" i="19" s="1"/>
  <c r="B20" i="19"/>
  <c r="B21" i="19" s="1"/>
  <c r="B7" i="19"/>
  <c r="B12" i="19" s="1"/>
  <c r="E12" i="19" s="1"/>
  <c r="B6" i="19"/>
  <c r="E3" i="19" s="1"/>
  <c r="E4" i="19" s="1"/>
  <c r="B3" i="19"/>
  <c r="B5" i="18"/>
  <c r="B14" i="18" s="1"/>
  <c r="D21" i="13"/>
  <c r="D20" i="13"/>
  <c r="I106" i="11"/>
  <c r="G106" i="11"/>
  <c r="F106" i="11"/>
  <c r="C106" i="11"/>
  <c r="I105" i="11"/>
  <c r="G105" i="11"/>
  <c r="F105" i="11"/>
  <c r="C105" i="11"/>
  <c r="I104" i="11"/>
  <c r="G104" i="11"/>
  <c r="F104" i="11"/>
  <c r="C104" i="11"/>
  <c r="I103" i="11"/>
  <c r="G103" i="11"/>
  <c r="F103" i="11"/>
  <c r="C103" i="11"/>
  <c r="I102" i="11"/>
  <c r="G102" i="11"/>
  <c r="F102" i="11"/>
  <c r="C102" i="11"/>
  <c r="I101" i="11"/>
  <c r="G101" i="11"/>
  <c r="F101" i="11"/>
  <c r="C101" i="11"/>
  <c r="I100" i="11"/>
  <c r="G100" i="11"/>
  <c r="F100" i="11"/>
  <c r="C100" i="11"/>
  <c r="I99" i="11"/>
  <c r="G99" i="11"/>
  <c r="F99" i="11"/>
  <c r="C99" i="11"/>
  <c r="I98" i="11"/>
  <c r="G98" i="11"/>
  <c r="F98" i="11"/>
  <c r="C98" i="11"/>
  <c r="I97" i="11"/>
  <c r="G97" i="11"/>
  <c r="F97" i="11"/>
  <c r="C97" i="11"/>
  <c r="I96" i="11"/>
  <c r="G96" i="11"/>
  <c r="F96" i="11"/>
  <c r="C96" i="11"/>
  <c r="I95" i="11"/>
  <c r="G95" i="11"/>
  <c r="F95" i="11"/>
  <c r="C95" i="11"/>
  <c r="I94" i="11"/>
  <c r="G94" i="11"/>
  <c r="F94" i="11"/>
  <c r="C94" i="11"/>
  <c r="I93" i="11"/>
  <c r="G93" i="11"/>
  <c r="F93" i="11"/>
  <c r="C93" i="11"/>
  <c r="I92" i="11"/>
  <c r="G92" i="11"/>
  <c r="F92" i="11"/>
  <c r="C92" i="11"/>
  <c r="I91" i="11"/>
  <c r="G91" i="11"/>
  <c r="F91" i="11"/>
  <c r="C91" i="11"/>
  <c r="I90" i="11"/>
  <c r="G90" i="11"/>
  <c r="F90" i="11"/>
  <c r="C90" i="11"/>
  <c r="I89" i="11"/>
  <c r="G89" i="11"/>
  <c r="F89" i="11"/>
  <c r="C89" i="11"/>
  <c r="I88" i="11"/>
  <c r="G88" i="11"/>
  <c r="F88" i="11"/>
  <c r="C88" i="11"/>
  <c r="I87" i="11"/>
  <c r="G87" i="11"/>
  <c r="F87" i="11"/>
  <c r="C87" i="11"/>
  <c r="I86" i="11"/>
  <c r="G86" i="11"/>
  <c r="F86" i="11"/>
  <c r="C86" i="11"/>
  <c r="I85" i="11"/>
  <c r="G85" i="11"/>
  <c r="F85" i="11"/>
  <c r="C85" i="11"/>
  <c r="I84" i="11"/>
  <c r="G84" i="11"/>
  <c r="F84" i="11"/>
  <c r="C84" i="11"/>
  <c r="I83" i="11"/>
  <c r="G83" i="11"/>
  <c r="F83" i="11"/>
  <c r="C83" i="11"/>
  <c r="I82" i="11"/>
  <c r="G82" i="11"/>
  <c r="F82" i="11"/>
  <c r="C82" i="11"/>
  <c r="I81" i="11"/>
  <c r="G81" i="11"/>
  <c r="F81" i="11"/>
  <c r="C81" i="11"/>
  <c r="I80" i="11"/>
  <c r="G80" i="11"/>
  <c r="F80" i="11"/>
  <c r="C80" i="11"/>
  <c r="I79" i="11"/>
  <c r="G79" i="11"/>
  <c r="F79" i="11"/>
  <c r="C79" i="11"/>
  <c r="I78" i="11"/>
  <c r="G78" i="11"/>
  <c r="F78" i="11"/>
  <c r="C78" i="11"/>
  <c r="I77" i="11"/>
  <c r="G77" i="11"/>
  <c r="F77" i="11"/>
  <c r="C77" i="11"/>
  <c r="I76" i="11"/>
  <c r="G76" i="11"/>
  <c r="F76" i="11"/>
  <c r="C76" i="11"/>
  <c r="I75" i="11"/>
  <c r="G75" i="11"/>
  <c r="F75" i="11"/>
  <c r="C75" i="11"/>
  <c r="I74" i="11"/>
  <c r="G74" i="11"/>
  <c r="F74" i="11"/>
  <c r="C74" i="11"/>
  <c r="I73" i="11"/>
  <c r="G73" i="11"/>
  <c r="F73" i="11"/>
  <c r="C73" i="11"/>
  <c r="I72" i="11"/>
  <c r="G72" i="11"/>
  <c r="F72" i="11"/>
  <c r="C72" i="11"/>
  <c r="I71" i="11"/>
  <c r="G71" i="11"/>
  <c r="F71" i="11"/>
  <c r="C71" i="11"/>
  <c r="I70" i="11"/>
  <c r="G70" i="11"/>
  <c r="F70" i="11"/>
  <c r="C70" i="11"/>
  <c r="I69" i="11"/>
  <c r="G69" i="11"/>
  <c r="F69" i="11"/>
  <c r="C69" i="11"/>
  <c r="I68" i="11"/>
  <c r="G68" i="11"/>
  <c r="F68" i="11"/>
  <c r="C68" i="11"/>
  <c r="I67" i="11"/>
  <c r="G67" i="11"/>
  <c r="F67" i="11"/>
  <c r="C67" i="11"/>
  <c r="I66" i="11"/>
  <c r="G66" i="11"/>
  <c r="F66" i="11"/>
  <c r="C66" i="11"/>
  <c r="I65" i="11"/>
  <c r="G65" i="11"/>
  <c r="F65" i="11"/>
  <c r="C65" i="11"/>
  <c r="I64" i="11"/>
  <c r="G64" i="11"/>
  <c r="F64" i="11"/>
  <c r="C64" i="11"/>
  <c r="I63" i="11"/>
  <c r="G63" i="11"/>
  <c r="F63" i="11"/>
  <c r="C63" i="11"/>
  <c r="I62" i="11"/>
  <c r="G62" i="11"/>
  <c r="F62" i="11"/>
  <c r="C62" i="11"/>
  <c r="I61" i="11"/>
  <c r="G61" i="11"/>
  <c r="F61" i="11"/>
  <c r="C61" i="11"/>
  <c r="I60" i="11"/>
  <c r="G60" i="11"/>
  <c r="F60" i="11"/>
  <c r="C60" i="11"/>
  <c r="I59" i="11"/>
  <c r="G59" i="11"/>
  <c r="F59" i="11"/>
  <c r="C59" i="11"/>
  <c r="I58" i="11"/>
  <c r="G58" i="11"/>
  <c r="F58" i="11"/>
  <c r="C58" i="11"/>
  <c r="I57" i="11"/>
  <c r="G57" i="11"/>
  <c r="F57" i="11"/>
  <c r="C57" i="11"/>
  <c r="I56" i="11"/>
  <c r="G56" i="11"/>
  <c r="F56" i="11"/>
  <c r="C56" i="11"/>
  <c r="I55" i="11"/>
  <c r="G55" i="11"/>
  <c r="F55" i="11"/>
  <c r="C55" i="11"/>
  <c r="I54" i="11"/>
  <c r="G54" i="11"/>
  <c r="F54" i="11"/>
  <c r="C54" i="11"/>
  <c r="I53" i="11"/>
  <c r="G53" i="11"/>
  <c r="F53" i="11"/>
  <c r="C53" i="11"/>
  <c r="I52" i="11"/>
  <c r="G52" i="11"/>
  <c r="F52" i="11"/>
  <c r="C52" i="11"/>
  <c r="I51" i="11"/>
  <c r="G51" i="11"/>
  <c r="F51" i="11"/>
  <c r="C51" i="11"/>
  <c r="I50" i="11"/>
  <c r="G50" i="11"/>
  <c r="F50" i="11"/>
  <c r="C50" i="11"/>
  <c r="I49" i="11"/>
  <c r="G49" i="11"/>
  <c r="F49" i="11"/>
  <c r="C49" i="11"/>
  <c r="I48" i="11"/>
  <c r="G48" i="11"/>
  <c r="F48" i="11"/>
  <c r="C48" i="11"/>
  <c r="I47" i="11"/>
  <c r="G47" i="11"/>
  <c r="F47" i="11"/>
  <c r="C47" i="11"/>
  <c r="I46" i="11"/>
  <c r="G46" i="11"/>
  <c r="F46" i="11"/>
  <c r="C46" i="11"/>
  <c r="I45" i="11"/>
  <c r="G45" i="11"/>
  <c r="F45" i="11"/>
  <c r="C45" i="11"/>
  <c r="B44" i="11"/>
  <c r="I44" i="11" s="1"/>
  <c r="I43" i="11"/>
  <c r="G43" i="11"/>
  <c r="F43" i="11"/>
  <c r="C43" i="11"/>
  <c r="I42" i="11"/>
  <c r="G42" i="11"/>
  <c r="F42" i="11"/>
  <c r="C42" i="11"/>
  <c r="B41" i="11"/>
  <c r="I41" i="11" s="1"/>
  <c r="I40" i="11"/>
  <c r="G40" i="11"/>
  <c r="F40" i="11"/>
  <c r="C40" i="11"/>
  <c r="I39" i="11"/>
  <c r="G39" i="11"/>
  <c r="F39" i="11"/>
  <c r="C39" i="11"/>
  <c r="G38" i="11"/>
  <c r="F38" i="11"/>
  <c r="C38" i="11"/>
  <c r="I37" i="11"/>
  <c r="G37" i="11"/>
  <c r="F37" i="11"/>
  <c r="C37" i="11"/>
  <c r="K25" i="11"/>
  <c r="M25" i="11" s="1"/>
  <c r="K24" i="11"/>
  <c r="M24" i="11" s="1"/>
  <c r="M21" i="11"/>
  <c r="K18" i="11"/>
  <c r="K17" i="11"/>
  <c r="M17" i="11" s="1"/>
  <c r="K16" i="11"/>
  <c r="M16" i="11" s="1"/>
  <c r="K12" i="11"/>
  <c r="K8" i="11"/>
  <c r="M8" i="11" s="1"/>
  <c r="M6" i="11"/>
  <c r="M22" i="10"/>
  <c r="B12" i="10" s="1"/>
  <c r="K22" i="10"/>
  <c r="M19" i="10"/>
  <c r="K15" i="10"/>
  <c r="M15" i="10" s="1"/>
  <c r="M14" i="10"/>
  <c r="K13" i="10"/>
  <c r="M13" i="10" s="1"/>
  <c r="K5" i="10"/>
  <c r="M5" i="10" s="1"/>
  <c r="M3" i="10"/>
  <c r="F24" i="7"/>
  <c r="B26" i="7" s="1"/>
  <c r="B24" i="7"/>
  <c r="B25" i="7" s="1"/>
  <c r="F17" i="7"/>
  <c r="F18" i="7" s="1"/>
  <c r="B17" i="7"/>
  <c r="B18" i="7" s="1"/>
  <c r="F25" i="7" l="1"/>
  <c r="B19" i="7"/>
  <c r="F41" i="11"/>
  <c r="C41" i="11"/>
  <c r="G41" i="11"/>
  <c r="K19" i="11"/>
  <c r="M19" i="11" s="1"/>
  <c r="B13" i="11" s="1"/>
  <c r="B17" i="11" s="1"/>
  <c r="B21" i="11" s="1"/>
  <c r="B27" i="11" s="1"/>
  <c r="B15" i="11"/>
  <c r="B11" i="19"/>
  <c r="E11" i="19" s="1"/>
  <c r="G11" i="19" s="1"/>
  <c r="B15" i="19"/>
  <c r="E15" i="19" s="1"/>
  <c r="G15" i="19" s="1"/>
  <c r="B13" i="19"/>
  <c r="E13" i="19" s="1"/>
  <c r="G13" i="19" s="1"/>
  <c r="B9" i="18"/>
  <c r="B10" i="18"/>
  <c r="B11" i="18"/>
  <c r="B15" i="18"/>
  <c r="G44" i="11"/>
  <c r="F44" i="11"/>
  <c r="C44" i="11"/>
  <c r="M23" i="10"/>
  <c r="K24" i="10" s="1"/>
  <c r="K16" i="10" s="1"/>
  <c r="M16" i="10" s="1"/>
  <c r="B10" i="10" s="1"/>
  <c r="B14" i="10" s="1"/>
  <c r="B17" i="10" s="1"/>
  <c r="B20" i="10" s="1"/>
  <c r="B23" i="10" s="1"/>
  <c r="B26" i="10" s="1"/>
  <c r="G12" i="19"/>
  <c r="B22" i="19"/>
  <c r="D29" i="19"/>
  <c r="B23" i="19"/>
  <c r="B24" i="19" s="1"/>
  <c r="B12" i="18"/>
  <c r="B16" i="19"/>
  <c r="E16" i="19" s="1"/>
  <c r="G16" i="19" s="1"/>
  <c r="B13" i="18"/>
  <c r="B28" i="19"/>
  <c r="B14" i="19"/>
  <c r="E14" i="19" s="1"/>
  <c r="G14" i="19" s="1"/>
  <c r="B30" i="19" l="1"/>
  <c r="B29" i="19"/>
</calcChain>
</file>

<file path=xl/sharedStrings.xml><?xml version="1.0" encoding="utf-8"?>
<sst xmlns="http://schemas.openxmlformats.org/spreadsheetml/2006/main" count="765" uniqueCount="449">
  <si>
    <t>Radar parameters</t>
  </si>
  <si>
    <t>Formulas</t>
  </si>
  <si>
    <t>References</t>
  </si>
  <si>
    <t>Freq=</t>
  </si>
  <si>
    <t>MHz</t>
  </si>
  <si>
    <t>Wavelength=</t>
  </si>
  <si>
    <t>cm</t>
  </si>
  <si>
    <t>C/f</t>
  </si>
  <si>
    <t>1st Sidelobe~</t>
  </si>
  <si>
    <t>dB below peak</t>
  </si>
  <si>
    <t>~22 dB for simple parabolic reflector</t>
  </si>
  <si>
    <t>~18 below for Planar array</t>
  </si>
  <si>
    <t>~30 dB for Planar array with -30dB amplitude taper applied</t>
  </si>
  <si>
    <t>Antenna Eff.</t>
  </si>
  <si>
    <t>%</t>
  </si>
  <si>
    <t>0.5 - 0.6 Ant Eff for simple reflector is typical</t>
  </si>
  <si>
    <t>0.6 - 0.8 ant effiency for planar array is typical</t>
  </si>
  <si>
    <t>No ant taper</t>
  </si>
  <si>
    <t>degrees</t>
  </si>
  <si>
    <t>(1.02*(Wavelength / Antenna Diameter))*57.3(to convert radians to degrees)</t>
  </si>
  <si>
    <t>Intro to airborne radar' page 113.</t>
  </si>
  <si>
    <t>null - null BW</t>
  </si>
  <si>
    <t>(2.27*(Wavelength / Antenna Diameter))*57.3(to convert radians to degrees)</t>
  </si>
  <si>
    <t>Gain=</t>
  </si>
  <si>
    <t>dBi</t>
  </si>
  <si>
    <t>10*LOG10(41253*ANT eff)/(Az*El)</t>
  </si>
  <si>
    <t>1st sidelobe</t>
  </si>
  <si>
    <t>-Sidelobe dB from Main Beam Gain</t>
  </si>
  <si>
    <t>With -30dB taper</t>
  </si>
  <si>
    <t>(1.25*(Wavelength / Antenna Diameter))*57.3(to convert radians to degrees)</t>
  </si>
  <si>
    <t>Tapered Circular Apperature 3dB formula. 'Intro to airborne radar' page 113.</t>
  </si>
  <si>
    <t>Null - Null BW~</t>
  </si>
  <si>
    <t>(2.78*(Wavelength / Antenna Diameter))*57.3(to convert radians to degrees)</t>
  </si>
  <si>
    <t>Estimated Tapered Circular Apperature N-N formula.</t>
  </si>
  <si>
    <t>1st Sidelobe=</t>
  </si>
  <si>
    <t>-30 dB from Main Beam Gain</t>
  </si>
  <si>
    <t>Gain if Beamwidths are Known:</t>
  </si>
  <si>
    <t>Az BW=</t>
  </si>
  <si>
    <t>Deg</t>
  </si>
  <si>
    <t>El BW=</t>
  </si>
  <si>
    <t>Gain =</t>
  </si>
  <si>
    <t>Vert Diameter~</t>
  </si>
  <si>
    <t>Hor Diameter~</t>
  </si>
  <si>
    <t>Vert 3dB~</t>
  </si>
  <si>
    <t>Hor 3dB~</t>
  </si>
  <si>
    <t>10*LOG10(52525*ANT eff)/(Az*El)</t>
  </si>
  <si>
    <t>dB</t>
  </si>
  <si>
    <t>Max  Detection Range =</t>
  </si>
  <si>
    <t>Pavg*Gt*Gr*𝜆^2*RCS*INTt</t>
  </si>
  <si>
    <t>^1/4</t>
  </si>
  <si>
    <t>(4pi^3)*SNR*K*Temp*NF*L</t>
  </si>
  <si>
    <t>Pavg =</t>
  </si>
  <si>
    <t>Peak Power * Duty Cycle</t>
  </si>
  <si>
    <t>Gt =</t>
  </si>
  <si>
    <t>Antenna Gain on Transmit (see below for Ant Gain)</t>
  </si>
  <si>
    <t>Gr =</t>
  </si>
  <si>
    <t>𝜆 =</t>
  </si>
  <si>
    <t>Wavelength</t>
  </si>
  <si>
    <t>or</t>
  </si>
  <si>
    <t>1/RF*C</t>
  </si>
  <si>
    <t>RCS =</t>
  </si>
  <si>
    <t>Target reflectivity in meters squared</t>
  </si>
  <si>
    <t xml:space="preserve">K = </t>
  </si>
  <si>
    <t>Boltzman's Constant</t>
  </si>
  <si>
    <t>-228.6 dBW</t>
  </si>
  <si>
    <t>Temp =</t>
  </si>
  <si>
    <t>Rreciever Temp in Kelvin (typically 290K)</t>
  </si>
  <si>
    <t>NF =</t>
  </si>
  <si>
    <t>Noise Figure (see NF sheet)</t>
  </si>
  <si>
    <t>SNR =</t>
  </si>
  <si>
    <t>Signal to Noise Ratio detection scheme</t>
  </si>
  <si>
    <t>Typically Swirling Target Case 1 (see sheet)</t>
  </si>
  <si>
    <t>L =</t>
  </si>
  <si>
    <t>Total Losses (see Sheet)</t>
  </si>
  <si>
    <t>dB =</t>
  </si>
  <si>
    <t>10*LOG10(Lin)</t>
  </si>
  <si>
    <t>Linear =</t>
  </si>
  <si>
    <t>10^(dB/10)</t>
  </si>
  <si>
    <t>PRF =</t>
  </si>
  <si>
    <t>1/PRI</t>
  </si>
  <si>
    <t>PRI =</t>
  </si>
  <si>
    <t>1/PRF</t>
  </si>
  <si>
    <t>Duty Cycle =</t>
  </si>
  <si>
    <t>PD/PRI</t>
  </si>
  <si>
    <t>Frame Rate =</t>
  </si>
  <si>
    <t>1/Scan Time</t>
  </si>
  <si>
    <t>Scan Rate =</t>
  </si>
  <si>
    <t>Time per Bar/Bar Width</t>
  </si>
  <si>
    <t>INTp =</t>
  </si>
  <si>
    <t>PRF*INTt</t>
  </si>
  <si>
    <t>INTt/PRI</t>
  </si>
  <si>
    <t>INTt =</t>
  </si>
  <si>
    <t>Tot/1</t>
  </si>
  <si>
    <t>Tot/3</t>
  </si>
  <si>
    <t>Tot/5</t>
  </si>
  <si>
    <t>Tot/8</t>
  </si>
  <si>
    <t>= (Tot / #CPIs) - range fill time</t>
  </si>
  <si>
    <t>If in a Range Gated Track or VS</t>
  </si>
  <si>
    <t>If in HPRF Search (3 FMR stages)</t>
  </si>
  <si>
    <t>If in RG-HPRF Search (5 PRFs)</t>
  </si>
  <si>
    <t>If in MPRF Search (7-9 PRFs)</t>
  </si>
  <si>
    <t>Time on Target (Tot) =</t>
  </si>
  <si>
    <t>Scan Rate / 3dB Beamwidth</t>
  </si>
  <si>
    <t>Antenna Gain =</t>
  </si>
  <si>
    <t>10*LOG10(32000/(Az*El))</t>
  </si>
  <si>
    <t>PDeff (LFMOP) =</t>
  </si>
  <si>
    <t xml:space="preserve">1/bandwidth </t>
  </si>
  <si>
    <t>PDeff (BPSK) =</t>
  </si>
  <si>
    <t>PD/# of bits</t>
  </si>
  <si>
    <t>Max Unambiguous Range =</t>
  </si>
  <si>
    <t>(PRI*C)/2</t>
  </si>
  <si>
    <t>(1/PRF)*150m</t>
  </si>
  <si>
    <t>Min Range =</t>
  </si>
  <si>
    <t>((PD+R)*C)/2</t>
  </si>
  <si>
    <t>(PD+R)*150m</t>
  </si>
  <si>
    <t>Range Res =</t>
  </si>
  <si>
    <t>(PDeff*C)/2</t>
  </si>
  <si>
    <t>PDeff*150m</t>
  </si>
  <si>
    <t>Doppler Res =</t>
  </si>
  <si>
    <t>1/INTt</t>
  </si>
  <si>
    <t>1/PD</t>
  </si>
  <si>
    <t>If using Coherent Integration</t>
  </si>
  <si>
    <t>If not (or if prior to) using Coherent Integration</t>
  </si>
  <si>
    <t>Velocity Res =</t>
  </si>
  <si>
    <t>Doppler Res/Hz per Knot</t>
  </si>
  <si>
    <t>Time Bandwidth Product (IBW) =</t>
  </si>
  <si>
    <t>Optimal Bandwidth =</t>
  </si>
  <si>
    <t>3/PD</t>
  </si>
  <si>
    <t>Raw Angluar Res =</t>
  </si>
  <si>
    <t>3dB BW / 3</t>
  </si>
  <si>
    <t>Monopulse Angular Res =</t>
  </si>
  <si>
    <t>3dB BW / 10</t>
  </si>
  <si>
    <t>Compression Ratio =</t>
  </si>
  <si>
    <t>PD/PDeff</t>
  </si>
  <si>
    <t>Hz per Knot =</t>
  </si>
  <si>
    <t xml:space="preserve">RF * (C + Velocity*2)/(C)                        </t>
  </si>
  <si>
    <t>((RF*1000000)*((299792400+0.5144444*2)/299792400))-(RF*1000000)</t>
  </si>
  <si>
    <t>where 0.5144444 = 1 knot in m/s</t>
  </si>
  <si>
    <t>(2 * V * RF)/C</t>
  </si>
  <si>
    <t>Resolvable Range =</t>
  </si>
  <si>
    <t>(INTt*C)/2</t>
  </si>
  <si>
    <t>INTt*150m</t>
  </si>
  <si>
    <t>Optimal Resolvable Range =</t>
  </si>
  <si>
    <t>((INTt/3)*C)/2</t>
  </si>
  <si>
    <t>(INTt/3)*150m</t>
  </si>
  <si>
    <t>Max Unambiguous Doppler (MuD) =</t>
  </si>
  <si>
    <t>PRF/2</t>
  </si>
  <si>
    <t>Max Unambiguous Velocity (MuV) =</t>
  </si>
  <si>
    <t>MuD/Hz per Knot</t>
  </si>
  <si>
    <t>(C*PRF)/4f - Ownship Velocity</t>
  </si>
  <si>
    <t>Radar Blind Speed =</t>
  </si>
  <si>
    <t>Wavelength / (2*PRI)  (note that the product is in m/s)</t>
  </si>
  <si>
    <t># of V bins =</t>
  </si>
  <si>
    <t>MuV / V Res</t>
  </si>
  <si>
    <t>MuD / D Res</t>
  </si>
  <si>
    <t>(Max V - Min V)/ FFT</t>
  </si>
  <si>
    <t># of R bins =</t>
  </si>
  <si>
    <t>PRI/PDeff</t>
  </si>
  <si>
    <t>Range/R Res</t>
  </si>
  <si>
    <t>Total Bins =</t>
  </si>
  <si>
    <t>Rbin*Vbin</t>
  </si>
  <si>
    <t>Reciever BW =</t>
  </si>
  <si>
    <t>(1/PDeff)+(PRF)</t>
  </si>
  <si>
    <t>Optimal Reciever BW =</t>
  </si>
  <si>
    <t>(3/PDeff)+(PRF)</t>
  </si>
  <si>
    <t>ADC Min Sample Interval =</t>
  </si>
  <si>
    <t>PDeff/2.5</t>
  </si>
  <si>
    <t>ADC Min Sample Rate =</t>
  </si>
  <si>
    <t>(1/PDeff)*2.5</t>
  </si>
  <si>
    <t>Circular Ant Size =</t>
  </si>
  <si>
    <t>2/((wavelength/3dB BW)*Radians)</t>
  </si>
  <si>
    <t>Linear Ant Size =</t>
  </si>
  <si>
    <t>(wavelength/3dB BW)*Radians</t>
  </si>
  <si>
    <t>Max FMR  Rate =</t>
  </si>
  <si>
    <t>((-PRF/2)+(2Vp/wavelength)*C / 2*SQRT(2Re*Hr)</t>
  </si>
  <si>
    <t>Vp = Platform velocity; Re = Earths Radius (6.36e6); Hr= Radar Altitude</t>
  </si>
  <si>
    <t>FMR Range Res =</t>
  </si>
  <si>
    <t>(C*Filter BW)/(2*FM)</t>
  </si>
  <si>
    <t>PESA/ASEA antenna Gain =</t>
  </si>
  <si>
    <t>10*LOG10(4pi*Ne*2*Xspacing*Yspacing)/wavelength^2</t>
  </si>
  <si>
    <t>Where Ne is the Number of elements</t>
  </si>
  <si>
    <t>FFT operations =</t>
  </si>
  <si>
    <t>(0.5 * N * LOG2(N) * 6 (multiplies)) + (2 additions * (N * LOG2(N)))</t>
  </si>
  <si>
    <t>P(dB)=-10x(Horn Antennas/Horn Antennas-10dB)^2</t>
  </si>
  <si>
    <t>Binomial Distribution for SNR =</t>
  </si>
  <si>
    <t>1-BINOM.DIST((# of detections -1),# of CPIs,Single PRF Pd,True)</t>
  </si>
  <si>
    <t xml:space="preserve">50% Pd HPRF FMR example = 1-BINOM.DIST(2,3,0.5,True) </t>
  </si>
  <si>
    <t>Linear</t>
  </si>
  <si>
    <t>(4π^3)*(Range^4)*K*Temp*NF*L</t>
  </si>
  <si>
    <t>RF formula</t>
  </si>
  <si>
    <t>If Antenna Size and Beamwidth are known</t>
  </si>
  <si>
    <t>C=</t>
  </si>
  <si>
    <t>m/s</t>
  </si>
  <si>
    <t>Antenna Size (one plane)</t>
  </si>
  <si>
    <t>m</t>
  </si>
  <si>
    <t>Beamwidth (same plane)</t>
  </si>
  <si>
    <t>deg</t>
  </si>
  <si>
    <t>Wavelength =</t>
  </si>
  <si>
    <t>3dB * Ant Diameter</t>
  </si>
  <si>
    <t>Circular antenna; If no Taper is applied</t>
  </si>
  <si>
    <t>57.3 * 1.02</t>
  </si>
  <si>
    <t>Circular antenna; With 30dB Taper</t>
  </si>
  <si>
    <t>57.3 * 1.25</t>
  </si>
  <si>
    <t>Circular Planar Antenna (No Taper)</t>
  </si>
  <si>
    <t>Between</t>
  </si>
  <si>
    <t>Freq =</t>
  </si>
  <si>
    <t>-</t>
  </si>
  <si>
    <t>Avg nearest 100 MHz =</t>
  </si>
  <si>
    <t>Circular Planar Antenna (30dB Taper)</t>
  </si>
  <si>
    <t>Deg/sec</t>
  </si>
  <si>
    <t>Sec</t>
  </si>
  <si>
    <t>Hz</t>
  </si>
  <si>
    <t>usec</t>
  </si>
  <si>
    <t>Range Fill Time</t>
  </si>
  <si>
    <t>Nmi</t>
  </si>
  <si>
    <t>(4π^3)*SNR*K*Temp*NF*L</t>
  </si>
  <si>
    <t>Unit</t>
  </si>
  <si>
    <t>Log10</t>
  </si>
  <si>
    <t>Peak Power</t>
  </si>
  <si>
    <t>Ppk=</t>
  </si>
  <si>
    <t>Watts</t>
  </si>
  <si>
    <t>dBW</t>
  </si>
  <si>
    <t>Converting the above formula to dB (10*LOG10(Linear value)) gives the following equation:</t>
  </si>
  <si>
    <t>Duty Cycle</t>
  </si>
  <si>
    <t>DC=</t>
  </si>
  <si>
    <t>Average Power via Ppk &amp; DC</t>
  </si>
  <si>
    <t>Auto Pavg=</t>
  </si>
  <si>
    <t>x (1/4)</t>
  </si>
  <si>
    <t>Known Average Power</t>
  </si>
  <si>
    <t>Pavg=</t>
  </si>
  <si>
    <t>Antenna Beam Width</t>
  </si>
  <si>
    <t>BeamW=</t>
  </si>
  <si>
    <t>Antenna Scan Rate</t>
  </si>
  <si>
    <t>AntScanRate=</t>
  </si>
  <si>
    <t>Number of CPIs (PRFs or FMRs)</t>
  </si>
  <si>
    <t>CPIn=</t>
  </si>
  <si>
    <t>CPIs</t>
  </si>
  <si>
    <t xml:space="preserve">Transmit Gain </t>
  </si>
  <si>
    <t>Gt=</t>
  </si>
  <si>
    <t>Recieve Gain</t>
  </si>
  <si>
    <t>Gr=</t>
  </si>
  <si>
    <t>Freq</t>
  </si>
  <si>
    <t>f=</t>
  </si>
  <si>
    <t>Wavelength squared</t>
  </si>
  <si>
    <t>𝜆^2=</t>
  </si>
  <si>
    <t>Meters</t>
  </si>
  <si>
    <t>Radar Cross Section</t>
  </si>
  <si>
    <t>RCS=</t>
  </si>
  <si>
    <t>Meters^2</t>
  </si>
  <si>
    <t>Time on Target</t>
  </si>
  <si>
    <t>ToT=</t>
  </si>
  <si>
    <t>Integration Time</t>
  </si>
  <si>
    <t>INTt=</t>
  </si>
  <si>
    <t>Signal/Noise Ratio</t>
  </si>
  <si>
    <t>SNR=</t>
  </si>
  <si>
    <t>Boltzman's constant</t>
  </si>
  <si>
    <t>K=</t>
  </si>
  <si>
    <t>Constant</t>
  </si>
  <si>
    <t>Temp in kelvin</t>
  </si>
  <si>
    <t>Temp=</t>
  </si>
  <si>
    <t>Kelvin</t>
  </si>
  <si>
    <t>Noise Figure</t>
  </si>
  <si>
    <t>NF=</t>
  </si>
  <si>
    <t>Amp</t>
  </si>
  <si>
    <t>Losses</t>
  </si>
  <si>
    <t>L=</t>
  </si>
  <si>
    <t>4π^2 is area of sphere * π</t>
  </si>
  <si>
    <t>4π^3=</t>
  </si>
  <si>
    <t>area</t>
  </si>
  <si>
    <t>Optimal Range</t>
  </si>
  <si>
    <t>Ro=</t>
  </si>
  <si>
    <t>Estimated Ro</t>
  </si>
  <si>
    <t>Rt=</t>
  </si>
  <si>
    <t>sec</t>
  </si>
  <si>
    <t>Enter Data in Yellow Blocks</t>
  </si>
  <si>
    <t>Green Data is auto Calculated</t>
  </si>
  <si>
    <t>Blue Data is for Constants</t>
  </si>
  <si>
    <t>Radar Mode =</t>
  </si>
  <si>
    <t>STT</t>
  </si>
  <si>
    <t>Range to target =</t>
  </si>
  <si>
    <t>Target RCS =</t>
  </si>
  <si>
    <t>m^2</t>
  </si>
  <si>
    <t>Nearest lower SNR from table =</t>
  </si>
  <si>
    <t>Pd =</t>
  </si>
  <si>
    <t>Range^4=</t>
  </si>
  <si>
    <t>Real time data is Yellow</t>
  </si>
  <si>
    <t>Red Data is Mode Dependant</t>
  </si>
  <si>
    <t>Orange Data is Radar Dependant</t>
  </si>
  <si>
    <t>Purple Data is Optional</t>
  </si>
  <si>
    <t>SNR Pd Lookup table</t>
  </si>
  <si>
    <t>Swerling Case 1; 10^6 Prob False Alarm; Detection Probability (single scan) using mode specifc Binomial Distributions</t>
  </si>
  <si>
    <t>SNR (dB)</t>
  </si>
  <si>
    <t>VS</t>
  </si>
  <si>
    <r>
      <rPr>
        <sz val="10"/>
        <color theme="1"/>
        <rFont val="Arial"/>
      </rPr>
      <t xml:space="preserve">HPRF </t>
    </r>
    <r>
      <rPr>
        <sz val="7"/>
        <color theme="1"/>
        <rFont val="Arial"/>
      </rPr>
      <t>RWS/TWS</t>
    </r>
  </si>
  <si>
    <r>
      <rPr>
        <sz val="10"/>
        <color theme="1"/>
        <rFont val="Arial"/>
      </rPr>
      <t xml:space="preserve">RGH-PRF </t>
    </r>
    <r>
      <rPr>
        <sz val="7"/>
        <color theme="1"/>
        <rFont val="Arial"/>
      </rPr>
      <t>RWS/TWS</t>
    </r>
  </si>
  <si>
    <r>
      <rPr>
        <sz val="10"/>
        <color theme="1"/>
        <rFont val="Arial"/>
      </rPr>
      <t xml:space="preserve">MPRF </t>
    </r>
    <r>
      <rPr>
        <sz val="7"/>
        <color theme="1"/>
        <rFont val="Arial"/>
      </rPr>
      <t>RWS/TWS</t>
    </r>
  </si>
  <si>
    <t>Estimated losses</t>
  </si>
  <si>
    <t>TX</t>
  </si>
  <si>
    <t>RX</t>
  </si>
  <si>
    <t>Combined Est.</t>
  </si>
  <si>
    <t>Notes</t>
  </si>
  <si>
    <t>HPRF Processing Loss</t>
  </si>
  <si>
    <t>N/A</t>
  </si>
  <si>
    <t>~1</t>
  </si>
  <si>
    <t>HPRF stadle loss, Quantization loss</t>
  </si>
  <si>
    <t>HPRF Eclispsing</t>
  </si>
  <si>
    <t>High Duty Cycle only</t>
  </si>
  <si>
    <t>HPRF Tail aspect Altitude Losses from SLC</t>
  </si>
  <si>
    <t>See notes</t>
  </si>
  <si>
    <t>40kft ~ 10.5dB; 30kft ~14dB; 20kft ~18dB; 10kft ~ 21dB; 5kft ~ 25dB</t>
  </si>
  <si>
    <t>MPRF and RGH-PRF Losses</t>
  </si>
  <si>
    <t>~11.5</t>
  </si>
  <si>
    <t>"At high altitude and nose on, there is more than an 11 dB difference caused by blind zones, straddle, folded clutter, processing and thresholding losses" Radar Handbook Volume 2 5.22</t>
  </si>
  <si>
    <t>MPRF/RGH Altitude Losses from SLC (in addition to above)</t>
  </si>
  <si>
    <t>40kft ~ 0 dB; 30kft ~ 0.25dB; 20kft ~ 0.5dB; 10kft ~ 1.6dB; 5kft ~ 2.1dB</t>
  </si>
  <si>
    <t>Pulse Compression Loss</t>
  </si>
  <si>
    <t>Need info/data</t>
  </si>
  <si>
    <t>Radome</t>
  </si>
  <si>
    <t>Ant weighting</t>
  </si>
  <si>
    <t>AESAs may only use this on Rx</t>
  </si>
  <si>
    <t>Phase Shifter</t>
  </si>
  <si>
    <t>0.4 - 0.55</t>
  </si>
  <si>
    <t>ESA Only</t>
  </si>
  <si>
    <t>Element Mismatch</t>
  </si>
  <si>
    <t>Similarity</t>
  </si>
  <si>
    <t>Waveguide</t>
  </si>
  <si>
    <t>0.3 - 0.6</t>
  </si>
  <si>
    <t>Very high for PESA and Planar Array</t>
  </si>
  <si>
    <t>Not seen in AESA</t>
  </si>
  <si>
    <t>Band Pass Filter</t>
  </si>
  <si>
    <t>CFAR</t>
  </si>
  <si>
    <t>Beam Shape loss</t>
  </si>
  <si>
    <t xml:space="preserve">Atmospheric </t>
  </si>
  <si>
    <t>per km</t>
  </si>
  <si>
    <t>in X band</t>
  </si>
  <si>
    <t>km</t>
  </si>
  <si>
    <t>Total Loss</t>
  </si>
  <si>
    <t>ALT</t>
  </si>
  <si>
    <t>HPRF Nose On</t>
  </si>
  <si>
    <t>HPRF Tail aspect</t>
  </si>
  <si>
    <t>MPRF / RGHPRF</t>
  </si>
  <si>
    <t>40kft</t>
  </si>
  <si>
    <t>30kft</t>
  </si>
  <si>
    <t>20kft</t>
  </si>
  <si>
    <t>10kft</t>
  </si>
  <si>
    <t>5kft</t>
  </si>
  <si>
    <t>RF =</t>
  </si>
  <si>
    <t>Hz/Knot</t>
  </si>
  <si>
    <t>Max Unambiguous Doppler =</t>
  </si>
  <si>
    <t>Max Unambiguous Velocity =</t>
  </si>
  <si>
    <t>Knots</t>
  </si>
  <si>
    <t>ToT = (3dB beam width) / Antenna scan rate</t>
  </si>
  <si>
    <t>Azimuth beam width =</t>
  </si>
  <si>
    <t>Antenna scan rate =</t>
  </si>
  <si>
    <t>degrees/sec</t>
  </si>
  <si>
    <t>ToT =</t>
  </si>
  <si>
    <t xml:space="preserve">Integration Time = ToT / # of integration segments </t>
  </si>
  <si>
    <t>A/A Waveforms</t>
  </si>
  <si>
    <t># of CPIs</t>
  </si>
  <si>
    <t>A/A Modes</t>
  </si>
  <si>
    <t>HPRF no FMR INTt=</t>
  </si>
  <si>
    <t>Velocity Search mode</t>
  </si>
  <si>
    <t>HPRF with FMR INTt=</t>
  </si>
  <si>
    <t>HPRF RWS/TWS</t>
  </si>
  <si>
    <t>RGH-PRF INTt~</t>
  </si>
  <si>
    <t>5 - 6</t>
  </si>
  <si>
    <t>Uses FMR and PRF switching</t>
  </si>
  <si>
    <t>MPRF 7 PRFs INTt=</t>
  </si>
  <si>
    <t>APG-66/68(v5)</t>
  </si>
  <si>
    <t>via open source research paper online</t>
  </si>
  <si>
    <t>MPRF 8 PRFs INTt=</t>
  </si>
  <si>
    <t>Typical MPRF</t>
  </si>
  <si>
    <t>MPRF 9 PRFs INTt=</t>
  </si>
  <si>
    <t>APG-63</t>
  </si>
  <si>
    <t>via introduction to airborne radar 1st edition</t>
  </si>
  <si>
    <t>Typical</t>
  </si>
  <si>
    <t>Mode</t>
  </si>
  <si>
    <t># of segments</t>
  </si>
  <si>
    <t>MPRF search</t>
  </si>
  <si>
    <t>7 - 9</t>
  </si>
  <si>
    <t>MPRF range gated lock</t>
  </si>
  <si>
    <t xml:space="preserve">Range and Doppler corridor is resolved prior. A single PRF is then used. To keep the target in the corridor and range bin, the PRF is slide with target motion. Range and Doppler is inferred in this mode based on range and Doppler rate. </t>
  </si>
  <si>
    <t>HPRF Velocity search</t>
  </si>
  <si>
    <t xml:space="preserve">No FMR is used. Thus, target range is unknown. </t>
  </si>
  <si>
    <t>HPRF RWS / TWS</t>
  </si>
  <si>
    <t xml:space="preserve">Uses 3 FMR stages. Each processed separately </t>
  </si>
  <si>
    <t>HPRF Lock</t>
  </si>
  <si>
    <t xml:space="preserve">Range is resolved before hand, then target is constantly tracked in Doppler. Range is inferred from Doppler. </t>
  </si>
  <si>
    <t>Range Gated HPRF</t>
  </si>
  <si>
    <t>5 - 7</t>
  </si>
  <si>
    <t xml:space="preserve">Course Range is determined via FMR. Fine Range is determined with PRF switching. 5-7 PRFS used. </t>
  </si>
  <si>
    <t>D shift</t>
  </si>
  <si>
    <t>MPH</t>
  </si>
  <si>
    <t>Hz per Knot = RF * (C + Velocity*2)/(C) - RF</t>
  </si>
  <si>
    <t xml:space="preserve">Doppler Resolution </t>
  </si>
  <si>
    <t>Doppler Bin Size</t>
  </si>
  <si>
    <t>Units</t>
  </si>
  <si>
    <t>Velocity Bin Size</t>
  </si>
  <si>
    <t>Freq Resolution = 1 / integration time</t>
  </si>
  <si>
    <t>Enter PRF =</t>
  </si>
  <si>
    <t>or Enter PRI =</t>
  </si>
  <si>
    <t>PRF Value =</t>
  </si>
  <si>
    <t>MuD = PRF/2</t>
  </si>
  <si>
    <t>Keep in mind that MuV can be resolved with PRF switching in MPRF and RGH-PRF. In HPRF, MuV is typically the max measurable velocity.</t>
  </si>
  <si>
    <t>MuV = MuD/Hz per Knot</t>
  </si>
  <si>
    <t>RBS (in m/s) = Wavelength / (2 * (1/PRF))</t>
  </si>
  <si>
    <t>This is where the 1st RF harmonic will mask returns in the doppler domain</t>
  </si>
  <si>
    <t>Radar Blind Speed (multiples of)=</t>
  </si>
  <si>
    <t>RBS (in Knots) = (Wavelength / (2 * (1/PRF))) * 1.94384</t>
  </si>
  <si>
    <t>Ownship Aircraft Velocity =</t>
  </si>
  <si>
    <t>Sidelobe Clutter =</t>
  </si>
  <si>
    <t xml:space="preserve"> to</t>
  </si>
  <si>
    <t>Harmonic Sidelobe Clutter =</t>
  </si>
  <si>
    <t>MPRF RWS/TWS</t>
  </si>
  <si>
    <t>Pavg + Gt + Gr + Wavelength^2 + RCS + INTt</t>
  </si>
  <si>
    <t>Minus</t>
  </si>
  <si>
    <t>(4π^3) + (Range^4) + K + Temp + NF + L</t>
  </si>
  <si>
    <t>Cross check SNR and Radar mode against the Table below to determine Pd</t>
  </si>
  <si>
    <t>Km</t>
  </si>
  <si>
    <t>(4π^3) + SNR + K + Temp + NF + L</t>
  </si>
  <si>
    <t>x 1/4</t>
  </si>
  <si>
    <t>0.6 - 0.8 ant effiency for planar array. 0.7 chosen.</t>
  </si>
  <si>
    <t>Per the taper factor. Also matches typical planar radiation pattern depicted in 'Air and spaceborne Radar' book.</t>
  </si>
  <si>
    <t>Use SNR chart in "Basic SNR Equation" sheet to chose an appropriate SNR value</t>
  </si>
  <si>
    <t>Use "Find RF" sheet</t>
  </si>
  <si>
    <t>290K is typical</t>
  </si>
  <si>
    <t>Use "Losses" sheet</t>
  </si>
  <si>
    <t>Use "Planar Antenna Gain" sheet</t>
  </si>
  <si>
    <t>STT = 1, VS = 2, HPRF RWS/TWS = 3, RGH-PRF = 6, MPRF = 8 (typically)</t>
  </si>
  <si>
    <t>Only enter data into yellow cells</t>
  </si>
  <si>
    <t>STT (Any PRF) =</t>
  </si>
  <si>
    <t xml:space="preserve">Once a lock is established a single PRF is used. Doppler and range ambiguity is resolved prior to lock, and extrapolated from target motion within that one PRF. This technique drastically increases INTt and thus gain. </t>
  </si>
  <si>
    <t>Uses 1 PRF with 3 FMR stages to resolve range. Using 2 PRFs would require 3 FMRs per PRF, and would thus result in 6 CPIs. ToT/6 is worse than (ToT/3 + eclipsing loss)</t>
  </si>
  <si>
    <t>6 PRFs</t>
  </si>
  <si>
    <t>via introduction to airborne radar all editions</t>
  </si>
  <si>
    <t>Uses 7-9 PRIs. Each gets processed separately (via FFTs within each range bin)</t>
  </si>
  <si>
    <t>uses 2 PRFs to reduce eclipsing loss</t>
  </si>
  <si>
    <t>1 ~ 3</t>
  </si>
  <si>
    <t>"8 - 12 dB of total loss is typical" (ignoring SLC in MPRF)</t>
  </si>
  <si>
    <t>This is the equation ED should use in real time in DCS</t>
  </si>
  <si>
    <t xml:space="preserve">The only values that change moment to moment are in yellow. Everything else will be locked to that mode/radar. </t>
  </si>
  <si>
    <t>Pd at</t>
  </si>
  <si>
    <t>Nmi against a</t>
  </si>
  <si>
    <t>m^2 target per sweep</t>
  </si>
  <si>
    <t>All values in dB</t>
  </si>
  <si>
    <r>
      <t xml:space="preserve">Enter data into </t>
    </r>
    <r>
      <rPr>
        <b/>
        <sz val="16"/>
        <color rgb="FFFF0000"/>
        <rFont val="Arial"/>
        <family val="2"/>
        <scheme val="minor"/>
      </rPr>
      <t>Red</t>
    </r>
    <r>
      <rPr>
        <b/>
        <sz val="16"/>
        <color theme="0"/>
        <rFont val="Arial"/>
        <family val="2"/>
        <scheme val="minor"/>
      </rPr>
      <t xml:space="preserve">, </t>
    </r>
    <r>
      <rPr>
        <b/>
        <sz val="16"/>
        <color rgb="FFFFC000"/>
        <rFont val="Arial"/>
        <family val="2"/>
        <scheme val="minor"/>
      </rPr>
      <t>Orange</t>
    </r>
    <r>
      <rPr>
        <b/>
        <sz val="16"/>
        <color theme="0"/>
        <rFont val="Arial"/>
        <family val="2"/>
        <scheme val="minor"/>
      </rPr>
      <t xml:space="preserve"> and </t>
    </r>
    <r>
      <rPr>
        <b/>
        <sz val="16"/>
        <color rgb="FFFFFF00"/>
        <rFont val="Arial"/>
        <family val="2"/>
        <scheme val="minor"/>
      </rPr>
      <t>Yellow</t>
    </r>
    <r>
      <rPr>
        <b/>
        <sz val="16"/>
        <color theme="0"/>
        <rFont val="Arial"/>
        <family val="2"/>
        <scheme val="minor"/>
      </rPr>
      <t xml:space="preserve"> cells</t>
    </r>
  </si>
  <si>
    <t xml:space="preserve">min Bit length </t>
  </si>
  <si>
    <t>R is recovery time</t>
  </si>
  <si>
    <t>Antenna Gain on Recieve (Can be 3 dB less than Gt in STT; can be 1dB less on AESA in search)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</si>
</sst>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0.000"/>
    <numFmt numFmtId="166" formatCode="#,##0.000"/>
    <numFmt numFmtId="167" formatCode="0.0000"/>
    <numFmt numFmtId="168" formatCode="0.0000000"/>
    <numFmt numFmtId="169" formatCode="0.000000000000000000000000000000"/>
    <numFmt numFmtId="170" formatCode="0.00000"/>
    <numFmt numFmtId="171" formatCode="0.00000000000"/>
  </numFmts>
  <fonts count="44">
    <font>
      <sz val="10"/>
      <color rgb="FF000000"/>
      <name val="Arial"/>
      <scheme val="minor"/>
    </font>
    <font>
      <b/>
      <sz val="10"/>
      <color theme="1"/>
      <name val="Arial"/>
      <scheme val="minor"/>
    </font>
    <font>
      <sz val="10"/>
      <color theme="1"/>
      <name val="Arial"/>
      <scheme val="minor"/>
    </font>
    <font>
      <i/>
      <sz val="10"/>
      <color theme="1"/>
      <name val="Arial"/>
      <scheme val="minor"/>
    </font>
    <font>
      <sz val="10"/>
      <name val="Arial"/>
    </font>
    <font>
      <b/>
      <i/>
      <sz val="10"/>
      <color theme="1"/>
      <name val="Arial"/>
      <scheme val="minor"/>
    </font>
    <font>
      <b/>
      <sz val="14"/>
      <color theme="1"/>
      <name val="Arial"/>
      <scheme val="minor"/>
    </font>
    <font>
      <i/>
      <sz val="9"/>
      <color theme="1"/>
      <name val="Arial"/>
      <scheme val="minor"/>
    </font>
    <font>
      <sz val="10"/>
      <color rgb="FF000000"/>
      <name val="Arial"/>
    </font>
    <font>
      <b/>
      <sz val="12"/>
      <color theme="1"/>
      <name val="Arial"/>
      <scheme val="minor"/>
    </font>
    <font>
      <sz val="10"/>
      <color theme="1"/>
      <name val="Arial"/>
      <scheme val="minor"/>
    </font>
    <font>
      <sz val="11"/>
      <color rgb="FF000000"/>
      <name val="Inconsolata"/>
    </font>
    <font>
      <i/>
      <sz val="10"/>
      <color rgb="FF000000"/>
      <name val="Arial"/>
    </font>
    <font>
      <sz val="12"/>
      <color rgb="FFBDC1C6"/>
      <name val="Roboto"/>
    </font>
    <font>
      <i/>
      <sz val="10"/>
      <color theme="1"/>
      <name val="Arial"/>
      <scheme val="minor"/>
    </font>
    <font>
      <i/>
      <sz val="8"/>
      <color theme="1"/>
      <name val="Arial"/>
      <scheme val="minor"/>
    </font>
    <font>
      <i/>
      <sz val="10"/>
      <color rgb="FF000000"/>
      <name val="Arial"/>
      <scheme val="minor"/>
    </font>
    <font>
      <b/>
      <sz val="10"/>
      <color rgb="FFFFFF00"/>
      <name val="Arial"/>
      <scheme val="minor"/>
    </font>
    <font>
      <b/>
      <sz val="10"/>
      <color rgb="FF6AA84F"/>
      <name val="Arial"/>
      <scheme val="minor"/>
    </font>
    <font>
      <b/>
      <sz val="10"/>
      <color theme="4"/>
      <name val="Arial"/>
      <scheme val="minor"/>
    </font>
    <font>
      <sz val="9"/>
      <color theme="1"/>
      <name val="Arial"/>
      <scheme val="minor"/>
    </font>
    <font>
      <b/>
      <sz val="10"/>
      <color rgb="FFFF0000"/>
      <name val="Arial"/>
      <scheme val="minor"/>
    </font>
    <font>
      <b/>
      <sz val="10"/>
      <color rgb="FFFF9900"/>
      <name val="Arial"/>
      <scheme val="minor"/>
    </font>
    <font>
      <b/>
      <sz val="10"/>
      <color rgb="FFFF00FF"/>
      <name val="Arial"/>
      <scheme val="minor"/>
    </font>
    <font>
      <sz val="9"/>
      <color rgb="FF1F1F1F"/>
      <name val="&quot;Google Sans&quot;"/>
    </font>
    <font>
      <sz val="10"/>
      <color theme="1"/>
      <name val="Arial"/>
    </font>
    <font>
      <sz val="7"/>
      <color theme="1"/>
      <name val="Arial"/>
    </font>
    <font>
      <i/>
      <sz val="10"/>
      <color theme="1"/>
      <name val="Arial"/>
      <family val="2"/>
      <scheme val="minor"/>
    </font>
    <font>
      <sz val="10"/>
      <color theme="1"/>
      <name val="Arial"/>
      <family val="2"/>
      <scheme val="minor"/>
    </font>
    <font>
      <sz val="10"/>
      <name val="Arial"/>
      <family val="2"/>
    </font>
    <font>
      <sz val="10"/>
      <color rgb="FF000000"/>
      <name val="Arial"/>
      <family val="2"/>
      <scheme val="minor"/>
    </font>
    <font>
      <b/>
      <sz val="10"/>
      <color rgb="FF000000"/>
      <name val="Arial"/>
      <family val="2"/>
      <scheme val="minor"/>
    </font>
    <font>
      <i/>
      <sz val="10"/>
      <color rgb="FF000000"/>
      <name val="Arial"/>
      <family val="2"/>
      <scheme val="minor"/>
    </font>
    <font>
      <b/>
      <i/>
      <sz val="10"/>
      <color theme="1"/>
      <name val="Arial"/>
      <family val="2"/>
      <scheme val="minor"/>
    </font>
    <font>
      <b/>
      <sz val="10"/>
      <color theme="0"/>
      <name val="Arial"/>
      <family val="2"/>
      <scheme val="minor"/>
    </font>
    <font>
      <b/>
      <sz val="11"/>
      <color rgb="FFFFFF00"/>
      <name val="Arial"/>
      <family val="2"/>
      <scheme val="minor"/>
    </font>
    <font>
      <b/>
      <sz val="12"/>
      <color rgb="FF000000"/>
      <name val="Arial"/>
      <family val="2"/>
      <scheme val="minor"/>
    </font>
    <font>
      <b/>
      <sz val="10"/>
      <color theme="1"/>
      <name val="Arial"/>
      <family val="2"/>
      <scheme val="minor"/>
    </font>
    <font>
      <b/>
      <sz val="10"/>
      <name val="Arial"/>
      <family val="2"/>
    </font>
    <font>
      <i/>
      <sz val="9"/>
      <color theme="1"/>
      <name val="Arial"/>
      <family val="2"/>
      <scheme val="minor"/>
    </font>
    <font>
      <b/>
      <sz val="16"/>
      <color theme="0"/>
      <name val="Arial"/>
      <family val="2"/>
      <scheme val="minor"/>
    </font>
    <font>
      <b/>
      <sz val="16"/>
      <color rgb="FFFF0000"/>
      <name val="Arial"/>
      <family val="2"/>
      <scheme val="minor"/>
    </font>
    <font>
      <b/>
      <sz val="16"/>
      <color rgb="FFFFC000"/>
      <name val="Arial"/>
      <family val="2"/>
      <scheme val="minor"/>
    </font>
    <font>
      <b/>
      <sz val="16"/>
      <color rgb="FFFFFF00"/>
      <name val="Arial"/>
      <family val="2"/>
      <scheme val="minor"/>
    </font>
  </fonts>
  <fills count="25">
    <fill>
      <patternFill patternType="none"/>
    </fill>
    <fill>
      <patternFill patternType="gray125"/>
    </fill>
    <fill>
      <patternFill patternType="solid">
        <fgColor rgb="FFFFFF00"/>
        <bgColor rgb="FFFFFF00"/>
      </patternFill>
    </fill>
    <fill>
      <patternFill patternType="solid">
        <fgColor rgb="FFB6D7A8"/>
        <bgColor rgb="FFB6D7A8"/>
      </patternFill>
    </fill>
    <fill>
      <patternFill patternType="solid">
        <fgColor rgb="FF6AA84F"/>
        <bgColor rgb="FF6AA84F"/>
      </patternFill>
    </fill>
    <fill>
      <patternFill patternType="solid">
        <fgColor rgb="FF93C47D"/>
        <bgColor rgb="FF93C47D"/>
      </patternFill>
    </fill>
    <fill>
      <patternFill patternType="solid">
        <fgColor rgb="FFD9EAD3"/>
        <bgColor rgb="FFD9EAD3"/>
      </patternFill>
    </fill>
    <fill>
      <patternFill patternType="solid">
        <fgColor rgb="FFFFFFFF"/>
        <bgColor rgb="FFFFFFFF"/>
      </patternFill>
    </fill>
    <fill>
      <patternFill patternType="solid">
        <fgColor rgb="FFB7B7B7"/>
        <bgColor rgb="FFB7B7B7"/>
      </patternFill>
    </fill>
    <fill>
      <patternFill patternType="solid">
        <fgColor theme="0"/>
        <bgColor theme="0"/>
      </patternFill>
    </fill>
    <fill>
      <patternFill patternType="solid">
        <fgColor rgb="FF000000"/>
        <bgColor rgb="FF000000"/>
      </patternFill>
    </fill>
    <fill>
      <patternFill patternType="solid">
        <fgColor rgb="FFD9D9D9"/>
        <bgColor rgb="FFD9D9D9"/>
      </patternFill>
    </fill>
    <fill>
      <patternFill patternType="solid">
        <fgColor theme="4"/>
        <bgColor theme="4"/>
      </patternFill>
    </fill>
    <fill>
      <patternFill patternType="solid">
        <fgColor theme="1"/>
        <bgColor theme="1"/>
      </patternFill>
    </fill>
    <fill>
      <patternFill patternType="solid">
        <fgColor rgb="FFFF9900"/>
        <bgColor rgb="FFFF9900"/>
      </patternFill>
    </fill>
    <fill>
      <patternFill patternType="solid">
        <fgColor rgb="FFFF0000"/>
        <bgColor rgb="FFFF0000"/>
      </patternFill>
    </fill>
    <fill>
      <patternFill patternType="solid">
        <fgColor rgb="FFFF00FF"/>
        <bgColor rgb="FFFF00FF"/>
      </patternFill>
    </fill>
    <fill>
      <patternFill patternType="solid">
        <fgColor rgb="FF4A86E8"/>
        <bgColor rgb="FF4A86E8"/>
      </patternFill>
    </fill>
    <fill>
      <patternFill patternType="solid">
        <fgColor rgb="FFD0E0E3"/>
        <bgColor rgb="FFD0E0E3"/>
      </patternFill>
    </fill>
    <fill>
      <patternFill patternType="solid">
        <fgColor rgb="FFFFFF00"/>
        <bgColor indexed="64"/>
      </patternFill>
    </fill>
    <fill>
      <patternFill patternType="solid">
        <fgColor rgb="FF92D050"/>
        <bgColor indexed="64"/>
      </patternFill>
    </fill>
    <fill>
      <patternFill patternType="solid">
        <fgColor theme="1"/>
        <bgColor indexed="64"/>
      </patternFill>
    </fill>
    <fill>
      <patternFill patternType="solid">
        <fgColor rgb="FFFF0000"/>
        <bgColor rgb="FFFFFF00"/>
      </patternFill>
    </fill>
    <fill>
      <patternFill patternType="solid">
        <fgColor rgb="FFFF0000"/>
        <bgColor indexed="64"/>
      </patternFill>
    </fill>
    <fill>
      <patternFill patternType="solid">
        <fgColor theme="0"/>
        <bgColor indexed="64"/>
      </patternFill>
    </fill>
  </fills>
  <borders count="3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right style="thin">
        <color indexed="64"/>
      </right>
      <top/>
      <bottom style="thin">
        <color indexed="64"/>
      </bottom>
      <diagonal/>
    </border>
    <border>
      <left/>
      <right/>
      <top style="thin">
        <color indexed="64"/>
      </top>
      <bottom style="thin">
        <color rgb="FF000000"/>
      </bottom>
      <diagonal/>
    </border>
    <border>
      <left style="thin">
        <color rgb="FF000000"/>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s>
  <cellStyleXfs count="1">
    <xf numFmtId="0" fontId="0" fillId="0" borderId="0"/>
  </cellStyleXfs>
  <cellXfs count="312">
    <xf numFmtId="0" fontId="0" fillId="0" borderId="0" xfId="0"/>
    <xf numFmtId="0" fontId="2" fillId="0" borderId="3" xfId="0" applyFont="1" applyBorder="1"/>
    <xf numFmtId="0" fontId="1" fillId="0" borderId="0" xfId="0" applyFont="1"/>
    <xf numFmtId="0" fontId="2" fillId="0" borderId="4" xfId="0" applyFont="1" applyBorder="1" applyAlignment="1">
      <alignment horizontal="right"/>
    </xf>
    <xf numFmtId="0" fontId="2" fillId="0" borderId="5" xfId="0" applyFont="1" applyBorder="1"/>
    <xf numFmtId="0" fontId="3" fillId="0" borderId="0" xfId="0" applyFont="1"/>
    <xf numFmtId="0" fontId="2" fillId="0" borderId="6" xfId="0" applyFont="1" applyBorder="1" applyAlignment="1">
      <alignment horizontal="right"/>
    </xf>
    <xf numFmtId="0" fontId="2" fillId="0" borderId="8" xfId="0" applyFont="1" applyBorder="1"/>
    <xf numFmtId="0" fontId="2" fillId="0" borderId="0" xfId="0" applyFont="1"/>
    <xf numFmtId="0" fontId="2" fillId="0" borderId="0" xfId="0" applyFont="1" applyAlignment="1">
      <alignment horizontal="left"/>
    </xf>
    <xf numFmtId="0" fontId="3" fillId="0" borderId="0" xfId="0" applyFont="1" applyAlignment="1">
      <alignment horizontal="center"/>
    </xf>
    <xf numFmtId="0" fontId="2" fillId="0" borderId="0" xfId="0" applyFont="1" applyAlignment="1">
      <alignment horizontal="center"/>
    </xf>
    <xf numFmtId="0" fontId="7" fillId="0" borderId="0" xfId="0" applyFont="1" applyAlignment="1">
      <alignment wrapText="1"/>
    </xf>
    <xf numFmtId="0" fontId="2" fillId="0" borderId="10" xfId="0" applyFont="1" applyBorder="1" applyAlignment="1">
      <alignment horizontal="center"/>
    </xf>
    <xf numFmtId="0" fontId="2" fillId="0" borderId="7" xfId="0" applyFont="1" applyBorder="1" applyAlignment="1">
      <alignment horizontal="center"/>
    </xf>
    <xf numFmtId="0" fontId="2" fillId="0" borderId="0" xfId="0" applyFont="1" applyAlignment="1">
      <alignment horizontal="right"/>
    </xf>
    <xf numFmtId="0" fontId="8" fillId="7" borderId="0" xfId="0" applyFont="1" applyFill="1" applyAlignment="1">
      <alignment horizontal="right"/>
    </xf>
    <xf numFmtId="0" fontId="2" fillId="0" borderId="0" xfId="0" applyFont="1" applyAlignment="1">
      <alignment horizontal="right" vertical="center"/>
    </xf>
    <xf numFmtId="0" fontId="2" fillId="0" borderId="0" xfId="0" applyFont="1" applyAlignment="1">
      <alignment horizontal="center" vertical="center"/>
    </xf>
    <xf numFmtId="0" fontId="0" fillId="7" borderId="0" xfId="0" applyFill="1"/>
    <xf numFmtId="0" fontId="3" fillId="0" borderId="0" xfId="0" applyFont="1" applyAlignment="1">
      <alignment vertical="center"/>
    </xf>
    <xf numFmtId="3" fontId="2" fillId="8" borderId="0" xfId="0" applyNumberFormat="1" applyFont="1" applyFill="1"/>
    <xf numFmtId="0" fontId="7" fillId="0" borderId="0" xfId="0" applyFont="1"/>
    <xf numFmtId="0" fontId="2" fillId="2" borderId="0" xfId="0" applyFont="1" applyFill="1"/>
    <xf numFmtId="0" fontId="2" fillId="0" borderId="4" xfId="0" applyFont="1" applyBorder="1" applyAlignment="1">
      <alignment horizontal="right" vertical="center"/>
    </xf>
    <xf numFmtId="0" fontId="3" fillId="0" borderId="7" xfId="0" applyFont="1" applyBorder="1" applyAlignment="1">
      <alignment horizontal="center"/>
    </xf>
    <xf numFmtId="0" fontId="3" fillId="0" borderId="4" xfId="0" applyFont="1" applyBorder="1" applyAlignment="1">
      <alignment horizontal="center"/>
    </xf>
    <xf numFmtId="0" fontId="1" fillId="0" borderId="0" xfId="0" applyFont="1" applyAlignment="1">
      <alignment horizontal="center"/>
    </xf>
    <xf numFmtId="0" fontId="3" fillId="0" borderId="4" xfId="0" applyFont="1" applyBorder="1" applyAlignment="1">
      <alignment horizontal="right"/>
    </xf>
    <xf numFmtId="1" fontId="2" fillId="5" borderId="0" xfId="0" applyNumberFormat="1" applyFont="1" applyFill="1"/>
    <xf numFmtId="0" fontId="2" fillId="5" borderId="0" xfId="0" applyFont="1" applyFill="1"/>
    <xf numFmtId="0" fontId="2" fillId="5" borderId="5" xfId="0" applyFont="1" applyFill="1" applyBorder="1"/>
    <xf numFmtId="0" fontId="3" fillId="0" borderId="6" xfId="0" applyFont="1" applyBorder="1" applyAlignment="1">
      <alignment horizontal="right"/>
    </xf>
    <xf numFmtId="167" fontId="2" fillId="5" borderId="7" xfId="0" applyNumberFormat="1" applyFont="1" applyFill="1" applyBorder="1"/>
    <xf numFmtId="0" fontId="2" fillId="5" borderId="7" xfId="0" applyFont="1" applyFill="1" applyBorder="1"/>
    <xf numFmtId="0" fontId="2" fillId="5" borderId="8" xfId="0" applyFont="1" applyFill="1" applyBorder="1"/>
    <xf numFmtId="0" fontId="2" fillId="9" borderId="0" xfId="0" applyFont="1" applyFill="1" applyAlignment="1">
      <alignment horizontal="right"/>
    </xf>
    <xf numFmtId="1" fontId="2" fillId="9" borderId="0" xfId="0" applyNumberFormat="1" applyFont="1" applyFill="1"/>
    <xf numFmtId="0" fontId="2" fillId="9" borderId="0" xfId="0" applyFont="1" applyFill="1"/>
    <xf numFmtId="0" fontId="3" fillId="0" borderId="5" xfId="0" applyFont="1" applyBorder="1"/>
    <xf numFmtId="0" fontId="2" fillId="0" borderId="4" xfId="0" applyFont="1" applyBorder="1"/>
    <xf numFmtId="0" fontId="3" fillId="0" borderId="0" xfId="0" applyFont="1" applyAlignment="1">
      <alignment horizontal="right"/>
    </xf>
    <xf numFmtId="0" fontId="3" fillId="0" borderId="8" xfId="0" applyFont="1" applyBorder="1"/>
    <xf numFmtId="0" fontId="2" fillId="0" borderId="0" xfId="0" applyFont="1" applyAlignment="1">
      <alignment vertical="center"/>
    </xf>
    <xf numFmtId="0" fontId="3" fillId="11" borderId="3" xfId="0" applyFont="1" applyFill="1" applyBorder="1" applyAlignment="1">
      <alignment horizontal="left"/>
    </xf>
    <xf numFmtId="164" fontId="2" fillId="4" borderId="1" xfId="0" applyNumberFormat="1" applyFont="1" applyFill="1" applyBorder="1" applyAlignment="1">
      <alignment horizontal="center"/>
    </xf>
    <xf numFmtId="0" fontId="3" fillId="11" borderId="5" xfId="0" applyFont="1" applyFill="1" applyBorder="1" applyAlignment="1">
      <alignment horizontal="left"/>
    </xf>
    <xf numFmtId="164" fontId="2" fillId="10" borderId="4" xfId="0" applyNumberFormat="1" applyFont="1" applyFill="1" applyBorder="1" applyAlignment="1">
      <alignment horizontal="center"/>
    </xf>
    <xf numFmtId="0" fontId="3" fillId="10" borderId="5" xfId="0" applyFont="1" applyFill="1" applyBorder="1" applyAlignment="1">
      <alignment horizontal="left"/>
    </xf>
    <xf numFmtId="164" fontId="2" fillId="0" borderId="2" xfId="0" applyNumberFormat="1" applyFont="1" applyBorder="1" applyAlignment="1">
      <alignment horizontal="center"/>
    </xf>
    <xf numFmtId="164" fontId="2" fillId="2" borderId="4" xfId="0" applyNumberFormat="1" applyFont="1" applyFill="1" applyBorder="1" applyAlignment="1">
      <alignment horizontal="center"/>
    </xf>
    <xf numFmtId="0" fontId="9" fillId="0" borderId="0" xfId="0" applyFont="1" applyAlignment="1">
      <alignment horizontal="center"/>
    </xf>
    <xf numFmtId="164" fontId="2" fillId="0" borderId="7" xfId="0" applyNumberFormat="1" applyFont="1" applyBorder="1" applyAlignment="1">
      <alignment horizontal="center"/>
    </xf>
    <xf numFmtId="0" fontId="12" fillId="7" borderId="0" xfId="0" applyFont="1" applyFill="1" applyAlignment="1">
      <alignment horizontal="right"/>
    </xf>
    <xf numFmtId="168" fontId="2" fillId="10" borderId="4" xfId="0" applyNumberFormat="1" applyFont="1" applyFill="1" applyBorder="1" applyAlignment="1">
      <alignment horizontal="center"/>
    </xf>
    <xf numFmtId="164" fontId="2" fillId="4" borderId="4" xfId="0" applyNumberFormat="1" applyFont="1" applyFill="1" applyBorder="1" applyAlignment="1">
      <alignment horizontal="center"/>
    </xf>
    <xf numFmtId="0" fontId="3" fillId="0" borderId="0" xfId="0" applyFont="1" applyAlignment="1">
      <alignment horizontal="left" vertical="center"/>
    </xf>
    <xf numFmtId="164" fontId="2" fillId="12" borderId="4" xfId="0" applyNumberFormat="1" applyFont="1" applyFill="1" applyBorder="1" applyAlignment="1">
      <alignment horizontal="center"/>
    </xf>
    <xf numFmtId="0" fontId="3" fillId="0" borderId="0" xfId="0" applyFont="1" applyAlignment="1">
      <alignment horizontal="left"/>
    </xf>
    <xf numFmtId="164" fontId="0" fillId="4" borderId="4" xfId="0" applyNumberFormat="1" applyFill="1" applyBorder="1" applyAlignment="1">
      <alignment horizontal="center"/>
    </xf>
    <xf numFmtId="0" fontId="7" fillId="11" borderId="5" xfId="0" applyFont="1" applyFill="1" applyBorder="1" applyAlignment="1">
      <alignment horizontal="left" vertical="top"/>
    </xf>
    <xf numFmtId="0" fontId="15" fillId="0" borderId="0" xfId="0" applyFont="1"/>
    <xf numFmtId="171" fontId="2" fillId="0" borderId="0" xfId="0" applyNumberFormat="1" applyFont="1"/>
    <xf numFmtId="0" fontId="17" fillId="13" borderId="0" xfId="0" applyFont="1" applyFill="1"/>
    <xf numFmtId="0" fontId="18" fillId="13" borderId="0" xfId="0" applyFont="1" applyFill="1"/>
    <xf numFmtId="0" fontId="19" fillId="13" borderId="0" xfId="0" applyFont="1" applyFill="1"/>
    <xf numFmtId="164" fontId="2" fillId="0" borderId="13" xfId="0" applyNumberFormat="1" applyFont="1" applyBorder="1" applyAlignment="1">
      <alignment horizontal="center"/>
    </xf>
    <xf numFmtId="164" fontId="2" fillId="14" borderId="4" xfId="0" applyNumberFormat="1" applyFont="1" applyFill="1" applyBorder="1" applyAlignment="1">
      <alignment horizontal="center"/>
    </xf>
    <xf numFmtId="0" fontId="9" fillId="0" borderId="14" xfId="0" applyFont="1" applyBorder="1" applyAlignment="1">
      <alignment horizontal="center"/>
    </xf>
    <xf numFmtId="164" fontId="2" fillId="0" borderId="15" xfId="0" applyNumberFormat="1" applyFont="1" applyBorder="1" applyAlignment="1">
      <alignment horizontal="center"/>
    </xf>
    <xf numFmtId="2" fontId="2" fillId="0" borderId="0" xfId="0" applyNumberFormat="1" applyFont="1" applyAlignment="1">
      <alignment horizontal="center" vertical="center"/>
    </xf>
    <xf numFmtId="164" fontId="0" fillId="17" borderId="4" xfId="0" applyNumberFormat="1" applyFill="1" applyBorder="1" applyAlignment="1">
      <alignment horizontal="center"/>
    </xf>
    <xf numFmtId="1" fontId="2" fillId="0" borderId="0" xfId="0" applyNumberFormat="1" applyFont="1" applyAlignment="1">
      <alignment horizontal="center" vertical="center"/>
    </xf>
    <xf numFmtId="164" fontId="2" fillId="15" borderId="4" xfId="0" applyNumberFormat="1" applyFont="1" applyFill="1" applyBorder="1" applyAlignment="1">
      <alignment horizontal="center"/>
    </xf>
    <xf numFmtId="0" fontId="21" fillId="10" borderId="0" xfId="0" applyFont="1" applyFill="1"/>
    <xf numFmtId="0" fontId="22" fillId="10" borderId="0" xfId="0" applyFont="1" applyFill="1"/>
    <xf numFmtId="0" fontId="23" fillId="10" borderId="0" xfId="0" applyFont="1" applyFill="1"/>
    <xf numFmtId="0" fontId="2" fillId="0" borderId="12" xfId="0" applyFont="1" applyBorder="1" applyAlignment="1">
      <alignment horizontal="center"/>
    </xf>
    <xf numFmtId="2" fontId="20" fillId="9" borderId="12" xfId="0" applyNumberFormat="1" applyFont="1" applyFill="1" applyBorder="1" applyAlignment="1">
      <alignment horizontal="center"/>
    </xf>
    <xf numFmtId="2" fontId="2" fillId="9" borderId="12" xfId="0" applyNumberFormat="1" applyFont="1" applyFill="1" applyBorder="1" applyAlignment="1">
      <alignment horizontal="center"/>
    </xf>
    <xf numFmtId="165" fontId="2" fillId="9" borderId="12" xfId="0" applyNumberFormat="1" applyFont="1" applyFill="1" applyBorder="1" applyAlignment="1">
      <alignment horizontal="center"/>
    </xf>
    <xf numFmtId="165" fontId="2" fillId="0" borderId="12" xfId="0" applyNumberFormat="1" applyFont="1" applyBorder="1" applyAlignment="1">
      <alignment horizontal="center"/>
    </xf>
    <xf numFmtId="0" fontId="1" fillId="8" borderId="0" xfId="0" applyFont="1" applyFill="1"/>
    <xf numFmtId="0" fontId="2" fillId="8" borderId="0" xfId="0" applyFont="1" applyFill="1" applyAlignment="1">
      <alignment horizontal="center"/>
    </xf>
    <xf numFmtId="0" fontId="2" fillId="8" borderId="0" xfId="0" applyFont="1" applyFill="1"/>
    <xf numFmtId="0" fontId="3" fillId="8" borderId="0" xfId="0" applyFont="1" applyFill="1"/>
    <xf numFmtId="0" fontId="5" fillId="8" borderId="0" xfId="0" applyFont="1" applyFill="1"/>
    <xf numFmtId="0" fontId="2" fillId="15" borderId="0" xfId="0" applyFont="1" applyFill="1"/>
    <xf numFmtId="0" fontId="3" fillId="15" borderId="0" xfId="0" applyFont="1" applyFill="1"/>
    <xf numFmtId="0" fontId="5" fillId="15" borderId="0" xfId="0" applyFont="1" applyFill="1"/>
    <xf numFmtId="164" fontId="2" fillId="6" borderId="0" xfId="0" applyNumberFormat="1" applyFont="1" applyFill="1"/>
    <xf numFmtId="1" fontId="2" fillId="6" borderId="0" xfId="0" applyNumberFormat="1" applyFont="1" applyFill="1"/>
    <xf numFmtId="165" fontId="2" fillId="6" borderId="0" xfId="0" applyNumberFormat="1" applyFont="1" applyFill="1"/>
    <xf numFmtId="0" fontId="15" fillId="0" borderId="0" xfId="0" applyFont="1" applyAlignment="1">
      <alignment vertical="center"/>
    </xf>
    <xf numFmtId="167" fontId="2" fillId="3" borderId="7" xfId="0" applyNumberFormat="1" applyFont="1" applyFill="1" applyBorder="1"/>
    <xf numFmtId="167" fontId="2" fillId="0" borderId="0" xfId="0" applyNumberFormat="1" applyFont="1"/>
    <xf numFmtId="167" fontId="2" fillId="6" borderId="7" xfId="0" applyNumberFormat="1" applyFont="1" applyFill="1" applyBorder="1"/>
    <xf numFmtId="0" fontId="7" fillId="0" borderId="4" xfId="0" applyFont="1" applyBorder="1" applyAlignment="1">
      <alignment horizontal="right"/>
    </xf>
    <xf numFmtId="164" fontId="3" fillId="2" borderId="0" xfId="0" applyNumberFormat="1" applyFont="1" applyFill="1"/>
    <xf numFmtId="2" fontId="2" fillId="6" borderId="0" xfId="0" applyNumberFormat="1" applyFont="1" applyFill="1"/>
    <xf numFmtId="0" fontId="7" fillId="0" borderId="6" xfId="0" applyFont="1" applyBorder="1" applyAlignment="1">
      <alignment horizontal="right"/>
    </xf>
    <xf numFmtId="0" fontId="3" fillId="0" borderId="1" xfId="0" applyFont="1" applyBorder="1" applyAlignment="1">
      <alignment horizontal="center"/>
    </xf>
    <xf numFmtId="0" fontId="3" fillId="0" borderId="3" xfId="0" applyFont="1" applyBorder="1"/>
    <xf numFmtId="0" fontId="3" fillId="0" borderId="1" xfId="0" applyFont="1" applyBorder="1"/>
    <xf numFmtId="0" fontId="3" fillId="6" borderId="5" xfId="0" applyFont="1" applyFill="1" applyBorder="1"/>
    <xf numFmtId="164" fontId="2" fillId="6" borderId="4" xfId="0" applyNumberFormat="1" applyFont="1" applyFill="1" applyBorder="1" applyAlignment="1">
      <alignment horizontal="center"/>
    </xf>
    <xf numFmtId="0" fontId="3" fillId="18" borderId="5" xfId="0" applyFont="1" applyFill="1" applyBorder="1"/>
    <xf numFmtId="164" fontId="2" fillId="18" borderId="4" xfId="0" applyNumberFormat="1" applyFont="1" applyFill="1" applyBorder="1" applyAlignment="1">
      <alignment horizontal="center"/>
    </xf>
    <xf numFmtId="0" fontId="15" fillId="0" borderId="0" xfId="0" applyFont="1" applyAlignment="1">
      <alignment horizontal="right"/>
    </xf>
    <xf numFmtId="2" fontId="2" fillId="2" borderId="0" xfId="0" applyNumberFormat="1" applyFont="1" applyFill="1"/>
    <xf numFmtId="0" fontId="15" fillId="0" borderId="0" xfId="0" applyFont="1" applyAlignment="1">
      <alignment horizontal="right" vertical="center"/>
    </xf>
    <xf numFmtId="1" fontId="2" fillId="6" borderId="0" xfId="0" applyNumberFormat="1" applyFont="1" applyFill="1" applyAlignment="1">
      <alignment horizontal="right" vertical="center"/>
    </xf>
    <xf numFmtId="0" fontId="7" fillId="0" borderId="0" xfId="0" applyFont="1" applyAlignment="1">
      <alignment vertical="center"/>
    </xf>
    <xf numFmtId="1" fontId="2" fillId="6" borderId="0" xfId="0" applyNumberFormat="1" applyFont="1" applyFill="1" applyAlignment="1">
      <alignment horizontal="right"/>
    </xf>
    <xf numFmtId="0" fontId="15" fillId="11" borderId="0" xfId="0" applyFont="1" applyFill="1" applyAlignment="1">
      <alignment horizontal="center" vertical="center"/>
    </xf>
    <xf numFmtId="0" fontId="27" fillId="0" borderId="0" xfId="0" applyFont="1"/>
    <xf numFmtId="0" fontId="27" fillId="0" borderId="0" xfId="0" applyFont="1" applyAlignment="1">
      <alignment vertical="center"/>
    </xf>
    <xf numFmtId="0" fontId="4" fillId="0" borderId="0" xfId="0" applyFont="1"/>
    <xf numFmtId="0" fontId="16" fillId="0" borderId="0" xfId="0" applyFont="1" applyAlignment="1">
      <alignment horizontal="right"/>
    </xf>
    <xf numFmtId="170" fontId="2" fillId="0" borderId="0" xfId="0" applyNumberFormat="1" applyFont="1"/>
    <xf numFmtId="0" fontId="7" fillId="0" borderId="0" xfId="0" applyFont="1" applyAlignment="1">
      <alignment horizontal="left" vertical="top"/>
    </xf>
    <xf numFmtId="164" fontId="2" fillId="0" borderId="0" xfId="0" applyNumberFormat="1" applyFont="1" applyAlignment="1">
      <alignment horizontal="center"/>
    </xf>
    <xf numFmtId="0" fontId="14" fillId="0" borderId="0" xfId="0" applyFont="1" applyAlignment="1">
      <alignment horizontal="right"/>
    </xf>
    <xf numFmtId="0" fontId="11" fillId="0" borderId="0" xfId="0" applyFont="1" applyAlignment="1">
      <alignment horizontal="left"/>
    </xf>
    <xf numFmtId="0" fontId="3" fillId="11" borderId="19" xfId="0" applyFont="1" applyFill="1" applyBorder="1" applyAlignment="1">
      <alignment horizontal="center"/>
    </xf>
    <xf numFmtId="0" fontId="3" fillId="11" borderId="20" xfId="0" applyFont="1" applyFill="1" applyBorder="1" applyAlignment="1">
      <alignment horizontal="center"/>
    </xf>
    <xf numFmtId="0" fontId="3" fillId="11" borderId="21" xfId="0" applyFont="1" applyFill="1" applyBorder="1" applyAlignment="1">
      <alignment horizontal="center"/>
    </xf>
    <xf numFmtId="0" fontId="3" fillId="11" borderId="22" xfId="0" applyFont="1" applyFill="1" applyBorder="1" applyAlignment="1">
      <alignment horizontal="center"/>
    </xf>
    <xf numFmtId="0" fontId="2" fillId="14" borderId="23" xfId="0" applyFont="1" applyFill="1" applyBorder="1" applyAlignment="1">
      <alignment horizontal="center"/>
    </xf>
    <xf numFmtId="0" fontId="3" fillId="11" borderId="24" xfId="0" applyFont="1" applyFill="1" applyBorder="1" applyAlignment="1">
      <alignment horizontal="left"/>
    </xf>
    <xf numFmtId="0" fontId="2" fillId="15" borderId="25" xfId="0" applyFont="1" applyFill="1" applyBorder="1" applyAlignment="1">
      <alignment horizontal="center"/>
    </xf>
    <xf numFmtId="0" fontId="3" fillId="10" borderId="26" xfId="0" applyFont="1" applyFill="1" applyBorder="1" applyAlignment="1">
      <alignment horizontal="left"/>
    </xf>
    <xf numFmtId="0" fontId="2" fillId="4" borderId="25" xfId="0" applyFont="1" applyFill="1" applyBorder="1" applyAlignment="1">
      <alignment horizontal="center"/>
    </xf>
    <xf numFmtId="0" fontId="2" fillId="16" borderId="25" xfId="0" applyFont="1" applyFill="1" applyBorder="1" applyAlignment="1">
      <alignment horizontal="center"/>
    </xf>
    <xf numFmtId="0" fontId="2" fillId="14" borderId="25" xfId="0" applyFont="1" applyFill="1" applyBorder="1" applyAlignment="1">
      <alignment horizontal="center"/>
    </xf>
    <xf numFmtId="0" fontId="2" fillId="10" borderId="25" xfId="0" applyFont="1" applyFill="1" applyBorder="1" applyAlignment="1">
      <alignment horizontal="center"/>
    </xf>
    <xf numFmtId="0" fontId="3" fillId="11" borderId="26" xfId="0" applyFont="1" applyFill="1" applyBorder="1" applyAlignment="1">
      <alignment horizontal="left"/>
    </xf>
    <xf numFmtId="165" fontId="2" fillId="4" borderId="25" xfId="0" applyNumberFormat="1" applyFont="1" applyFill="1" applyBorder="1" applyAlignment="1">
      <alignment horizontal="center"/>
    </xf>
    <xf numFmtId="167" fontId="2" fillId="4" borderId="25" xfId="0" applyNumberFormat="1" applyFont="1" applyFill="1" applyBorder="1" applyAlignment="1">
      <alignment horizontal="center"/>
    </xf>
    <xf numFmtId="169" fontId="2" fillId="10" borderId="25" xfId="0" applyNumberFormat="1" applyFont="1" applyFill="1" applyBorder="1" applyAlignment="1">
      <alignment horizontal="center"/>
    </xf>
    <xf numFmtId="0" fontId="2" fillId="17" borderId="25" xfId="0" applyFont="1" applyFill="1" applyBorder="1" applyAlignment="1">
      <alignment horizontal="center"/>
    </xf>
    <xf numFmtId="1" fontId="2" fillId="12" borderId="25" xfId="0" applyNumberFormat="1" applyFont="1" applyFill="1" applyBorder="1" applyAlignment="1">
      <alignment horizontal="center"/>
    </xf>
    <xf numFmtId="0" fontId="10" fillId="4" borderId="27" xfId="0" applyFont="1" applyFill="1" applyBorder="1" applyAlignment="1">
      <alignment horizontal="center" vertical="top"/>
    </xf>
    <xf numFmtId="0" fontId="7" fillId="11" borderId="28" xfId="0" applyFont="1" applyFill="1" applyBorder="1" applyAlignment="1">
      <alignment horizontal="left" vertical="top"/>
    </xf>
    <xf numFmtId="164" fontId="2" fillId="4" borderId="29" xfId="0" applyNumberFormat="1" applyFont="1" applyFill="1" applyBorder="1" applyAlignment="1">
      <alignment horizontal="center"/>
    </xf>
    <xf numFmtId="0" fontId="3" fillId="11" borderId="30" xfId="0" applyFont="1" applyFill="1" applyBorder="1"/>
    <xf numFmtId="0" fontId="12" fillId="0" borderId="0" xfId="0" applyFont="1" applyAlignment="1">
      <alignment horizontal="right"/>
    </xf>
    <xf numFmtId="2" fontId="2" fillId="6" borderId="4" xfId="0" applyNumberFormat="1" applyFont="1" applyFill="1" applyBorder="1" applyAlignment="1">
      <alignment horizontal="center"/>
    </xf>
    <xf numFmtId="2" fontId="2" fillId="18" borderId="4" xfId="0" applyNumberFormat="1" applyFont="1" applyFill="1" applyBorder="1" applyAlignment="1">
      <alignment horizontal="center"/>
    </xf>
    <xf numFmtId="0" fontId="3" fillId="0" borderId="25" xfId="0" applyFont="1" applyBorder="1" applyAlignment="1">
      <alignment horizontal="center"/>
    </xf>
    <xf numFmtId="0" fontId="3" fillId="0" borderId="24" xfId="0" applyFont="1" applyBorder="1"/>
    <xf numFmtId="0" fontId="2" fillId="0" borderId="25" xfId="0" applyFont="1" applyBorder="1" applyAlignment="1">
      <alignment horizontal="right"/>
    </xf>
    <xf numFmtId="167" fontId="2" fillId="6" borderId="0" xfId="0" applyNumberFormat="1" applyFont="1" applyFill="1"/>
    <xf numFmtId="0" fontId="2" fillId="6" borderId="0" xfId="0" applyFont="1" applyFill="1"/>
    <xf numFmtId="0" fontId="2" fillId="6" borderId="0" xfId="0" applyFont="1" applyFill="1" applyAlignment="1">
      <alignment horizontal="center"/>
    </xf>
    <xf numFmtId="0" fontId="3" fillId="6" borderId="26" xfId="0" applyFont="1" applyFill="1" applyBorder="1"/>
    <xf numFmtId="167" fontId="2" fillId="18" borderId="0" xfId="0" applyNumberFormat="1" applyFont="1" applyFill="1"/>
    <xf numFmtId="0" fontId="2" fillId="18" borderId="0" xfId="0" applyFont="1" applyFill="1"/>
    <xf numFmtId="0" fontId="2" fillId="18" borderId="0" xfId="0" applyFont="1" applyFill="1" applyAlignment="1">
      <alignment horizontal="center"/>
    </xf>
    <xf numFmtId="0" fontId="3" fillId="18" borderId="26" xfId="0" applyFont="1" applyFill="1" applyBorder="1"/>
    <xf numFmtId="0" fontId="2" fillId="0" borderId="27" xfId="0" applyFont="1" applyBorder="1" applyAlignment="1">
      <alignment horizontal="right"/>
    </xf>
    <xf numFmtId="167" fontId="2" fillId="18" borderId="35" xfId="0" applyNumberFormat="1" applyFont="1" applyFill="1" applyBorder="1"/>
    <xf numFmtId="0" fontId="2" fillId="18" borderId="35" xfId="0" applyFont="1" applyFill="1" applyBorder="1"/>
    <xf numFmtId="0" fontId="2" fillId="18" borderId="35" xfId="0" applyFont="1" applyFill="1" applyBorder="1" applyAlignment="1">
      <alignment horizontal="center"/>
    </xf>
    <xf numFmtId="2" fontId="2" fillId="18" borderId="29" xfId="0" applyNumberFormat="1" applyFont="1" applyFill="1" applyBorder="1" applyAlignment="1">
      <alignment horizontal="center"/>
    </xf>
    <xf numFmtId="0" fontId="3" fillId="18" borderId="28" xfId="0" applyFont="1" applyFill="1" applyBorder="1"/>
    <xf numFmtId="164" fontId="2" fillId="18" borderId="29" xfId="0" applyNumberFormat="1" applyFont="1" applyFill="1" applyBorder="1" applyAlignment="1">
      <alignment horizontal="center"/>
    </xf>
    <xf numFmtId="0" fontId="3" fillId="18" borderId="30" xfId="0" applyFont="1" applyFill="1" applyBorder="1"/>
    <xf numFmtId="0" fontId="13" fillId="0" borderId="0" xfId="0" applyFont="1" applyAlignment="1">
      <alignment horizontal="left"/>
    </xf>
    <xf numFmtId="0" fontId="2" fillId="2" borderId="23" xfId="0" applyFont="1" applyFill="1" applyBorder="1" applyAlignment="1">
      <alignment horizontal="center"/>
    </xf>
    <xf numFmtId="0" fontId="2" fillId="2" borderId="25" xfId="0" applyFont="1" applyFill="1" applyBorder="1" applyAlignment="1">
      <alignment horizontal="center"/>
    </xf>
    <xf numFmtId="0" fontId="10" fillId="2" borderId="25" xfId="0" applyFont="1" applyFill="1" applyBorder="1" applyAlignment="1">
      <alignment horizontal="center" vertical="top"/>
    </xf>
    <xf numFmtId="0" fontId="3" fillId="11" borderId="26" xfId="0" applyFont="1" applyFill="1" applyBorder="1"/>
    <xf numFmtId="170" fontId="2" fillId="4" borderId="27" xfId="0" applyNumberFormat="1" applyFont="1" applyFill="1" applyBorder="1"/>
    <xf numFmtId="164" fontId="2" fillId="10" borderId="29" xfId="0" applyNumberFormat="1" applyFont="1" applyFill="1" applyBorder="1" applyAlignment="1">
      <alignment horizontal="center"/>
    </xf>
    <xf numFmtId="0" fontId="3" fillId="10" borderId="30" xfId="0" applyFont="1" applyFill="1" applyBorder="1"/>
    <xf numFmtId="0" fontId="32" fillId="0" borderId="0" xfId="0" applyFont="1"/>
    <xf numFmtId="0" fontId="0" fillId="0" borderId="0" xfId="0" applyAlignment="1">
      <alignment horizontal="right"/>
    </xf>
    <xf numFmtId="0" fontId="0" fillId="0" borderId="25" xfId="0" applyBorder="1" applyAlignment="1">
      <alignment horizontal="right"/>
    </xf>
    <xf numFmtId="0" fontId="0" fillId="0" borderId="26" xfId="0" applyBorder="1"/>
    <xf numFmtId="0" fontId="0" fillId="0" borderId="27" xfId="0" applyBorder="1" applyAlignment="1">
      <alignment horizontal="right"/>
    </xf>
    <xf numFmtId="0" fontId="32" fillId="0" borderId="35" xfId="0" applyFont="1" applyBorder="1"/>
    <xf numFmtId="0" fontId="0" fillId="0" borderId="35" xfId="0" applyBorder="1"/>
    <xf numFmtId="0" fontId="0" fillId="0" borderId="30" xfId="0" applyBorder="1"/>
    <xf numFmtId="0" fontId="30" fillId="0" borderId="25" xfId="0" applyFont="1" applyBorder="1"/>
    <xf numFmtId="0" fontId="30" fillId="0" borderId="0" xfId="0" applyFont="1"/>
    <xf numFmtId="0" fontId="34" fillId="0" borderId="0" xfId="0" applyFont="1" applyAlignment="1">
      <alignment vertical="center" wrapText="1"/>
    </xf>
    <xf numFmtId="0" fontId="7" fillId="0" borderId="0" xfId="0" applyFont="1" applyAlignment="1">
      <alignment vertical="center" wrapText="1"/>
    </xf>
    <xf numFmtId="0" fontId="24" fillId="0" borderId="0" xfId="0" applyFont="1"/>
    <xf numFmtId="0" fontId="28" fillId="0" borderId="0" xfId="0" applyFont="1"/>
    <xf numFmtId="0" fontId="2" fillId="0" borderId="33" xfId="0" applyFont="1" applyBorder="1"/>
    <xf numFmtId="0" fontId="0" fillId="0" borderId="33" xfId="0" applyBorder="1"/>
    <xf numFmtId="0" fontId="0" fillId="0" borderId="34" xfId="0" applyBorder="1"/>
    <xf numFmtId="0" fontId="28" fillId="0" borderId="25" xfId="0" applyFont="1" applyBorder="1" applyAlignment="1">
      <alignment horizontal="right"/>
    </xf>
    <xf numFmtId="0" fontId="2" fillId="0" borderId="35" xfId="0" applyFont="1" applyBorder="1"/>
    <xf numFmtId="167" fontId="2" fillId="6" borderId="35" xfId="0" applyNumberFormat="1" applyFont="1" applyFill="1" applyBorder="1"/>
    <xf numFmtId="0" fontId="2" fillId="0" borderId="35" xfId="0" applyFont="1" applyBorder="1" applyAlignment="1">
      <alignment horizontal="center"/>
    </xf>
    <xf numFmtId="0" fontId="28" fillId="0" borderId="0" xfId="0" applyFont="1" applyAlignment="1">
      <alignment horizontal="center"/>
    </xf>
    <xf numFmtId="0" fontId="0" fillId="19" borderId="16" xfId="0" applyFill="1" applyBorder="1"/>
    <xf numFmtId="2" fontId="0" fillId="19" borderId="16" xfId="0" applyNumberFormat="1" applyFill="1" applyBorder="1"/>
    <xf numFmtId="0" fontId="31" fillId="0" borderId="36" xfId="0" applyFont="1" applyBorder="1" applyAlignment="1">
      <alignment horizontal="right"/>
    </xf>
    <xf numFmtId="0" fontId="31" fillId="0" borderId="25" xfId="0" applyFont="1" applyBorder="1" applyAlignment="1">
      <alignment horizontal="right"/>
    </xf>
    <xf numFmtId="166" fontId="2" fillId="2" borderId="16" xfId="0" applyNumberFormat="1" applyFont="1" applyFill="1" applyBorder="1"/>
    <xf numFmtId="0" fontId="2" fillId="2" borderId="16" xfId="0" applyFont="1" applyFill="1" applyBorder="1"/>
    <xf numFmtId="164" fontId="2" fillId="5" borderId="0" xfId="0" applyNumberFormat="1" applyFont="1" applyFill="1"/>
    <xf numFmtId="0" fontId="28" fillId="0" borderId="0" xfId="0" quotePrefix="1" applyFont="1"/>
    <xf numFmtId="0" fontId="2" fillId="0" borderId="0" xfId="0" quotePrefix="1" applyFont="1" applyAlignment="1">
      <alignment horizontal="center" vertical="center"/>
    </xf>
    <xf numFmtId="0" fontId="0" fillId="0" borderId="0" xfId="0"/>
    <xf numFmtId="0" fontId="2" fillId="0" borderId="0" xfId="0" applyFont="1" applyAlignment="1">
      <alignment horizontal="left" vertical="center"/>
    </xf>
    <xf numFmtId="0" fontId="2" fillId="0" borderId="10" xfId="0" applyFont="1" applyBorder="1" applyAlignment="1">
      <alignment horizontal="center"/>
    </xf>
    <xf numFmtId="0" fontId="4" fillId="0" borderId="11" xfId="0" applyFont="1" applyBorder="1"/>
    <xf numFmtId="0" fontId="2" fillId="0" borderId="7" xfId="0" applyFont="1" applyBorder="1" applyAlignment="1">
      <alignment horizontal="center"/>
    </xf>
    <xf numFmtId="0" fontId="4" fillId="0" borderId="8" xfId="0" applyFont="1" applyBorder="1"/>
    <xf numFmtId="0" fontId="2" fillId="0" borderId="0" xfId="0" applyFont="1" applyAlignment="1">
      <alignment horizontal="right" vertical="center"/>
    </xf>
    <xf numFmtId="0" fontId="2" fillId="0" borderId="0" xfId="0" applyFont="1"/>
    <xf numFmtId="0" fontId="2" fillId="0" borderId="1" xfId="0" applyFont="1" applyBorder="1" applyAlignment="1">
      <alignment horizontal="right" vertical="center"/>
    </xf>
    <xf numFmtId="0" fontId="4" fillId="0" borderId="6" xfId="0" applyFont="1" applyBorder="1"/>
    <xf numFmtId="0" fontId="3" fillId="0" borderId="0" xfId="0" applyFont="1" applyAlignment="1">
      <alignment vertical="center"/>
    </xf>
    <xf numFmtId="0" fontId="2" fillId="0" borderId="0" xfId="0" applyFont="1" applyAlignment="1">
      <alignment horizontal="center" vertical="center"/>
    </xf>
    <xf numFmtId="0" fontId="35" fillId="21" borderId="0" xfId="0" applyFont="1" applyFill="1" applyAlignment="1">
      <alignment horizontal="center" vertical="center" wrapText="1"/>
    </xf>
    <xf numFmtId="2" fontId="2" fillId="0" borderId="13" xfId="0" applyNumberFormat="1" applyFont="1" applyBorder="1" applyAlignment="1">
      <alignment horizontal="center" vertical="center"/>
    </xf>
    <xf numFmtId="0" fontId="4" fillId="0" borderId="15" xfId="0" applyFont="1" applyBorder="1"/>
    <xf numFmtId="0" fontId="3" fillId="0" borderId="0" xfId="0" applyFont="1" applyAlignment="1">
      <alignment horizontal="left" vertical="center"/>
    </xf>
    <xf numFmtId="1" fontId="2" fillId="0" borderId="13" xfId="0" applyNumberFormat="1" applyFont="1" applyBorder="1" applyAlignment="1">
      <alignment horizontal="center" vertical="center"/>
    </xf>
    <xf numFmtId="164" fontId="1" fillId="0" borderId="13" xfId="0" applyNumberFormat="1" applyFont="1" applyBorder="1" applyAlignment="1">
      <alignment horizontal="center" vertical="center"/>
    </xf>
    <xf numFmtId="0" fontId="33" fillId="0" borderId="0" xfId="0" applyFont="1" applyAlignment="1">
      <alignment horizontal="left" vertical="center"/>
    </xf>
    <xf numFmtId="0" fontId="0" fillId="0" borderId="0" xfId="0" applyAlignment="1">
      <alignment horizontal="left"/>
    </xf>
    <xf numFmtId="0" fontId="2" fillId="0" borderId="13" xfId="0" applyFont="1" applyBorder="1" applyAlignment="1">
      <alignment horizontal="right" vertical="center"/>
    </xf>
    <xf numFmtId="0" fontId="4" fillId="0" borderId="14" xfId="0" applyFont="1" applyBorder="1"/>
    <xf numFmtId="0" fontId="2" fillId="0" borderId="3" xfId="0" applyFont="1" applyBorder="1" applyAlignment="1">
      <alignment vertical="center"/>
    </xf>
    <xf numFmtId="0" fontId="4" fillId="0" borderId="5" xfId="0" applyFont="1" applyBorder="1"/>
    <xf numFmtId="164" fontId="2" fillId="0" borderId="1" xfId="0" applyNumberFormat="1" applyFont="1" applyBorder="1" applyAlignment="1">
      <alignment horizontal="center" vertical="center"/>
    </xf>
    <xf numFmtId="0" fontId="7" fillId="0" borderId="0" xfId="0" applyFont="1" applyAlignment="1">
      <alignment horizontal="center"/>
    </xf>
    <xf numFmtId="164" fontId="2" fillId="4" borderId="4" xfId="0" applyNumberFormat="1" applyFont="1" applyFill="1" applyBorder="1" applyAlignment="1">
      <alignment horizontal="center" vertical="center"/>
    </xf>
    <xf numFmtId="0" fontId="4" fillId="0" borderId="4" xfId="0" applyFont="1" applyBorder="1"/>
    <xf numFmtId="0" fontId="3" fillId="11" borderId="26" xfId="0" applyFont="1" applyFill="1" applyBorder="1" applyAlignment="1">
      <alignment horizontal="left" vertical="center"/>
    </xf>
    <xf numFmtId="0" fontId="4" fillId="0" borderId="26" xfId="0" applyFont="1" applyBorder="1"/>
    <xf numFmtId="0" fontId="27" fillId="0" borderId="3" xfId="0" applyFont="1" applyBorder="1" applyAlignment="1">
      <alignment vertical="center"/>
    </xf>
    <xf numFmtId="0" fontId="29" fillId="0" borderId="2" xfId="0" applyFont="1" applyBorder="1" applyAlignment="1">
      <alignment horizontal="center"/>
    </xf>
    <xf numFmtId="0" fontId="4" fillId="0" borderId="2" xfId="0" applyFont="1" applyBorder="1" applyAlignment="1">
      <alignment horizontal="center"/>
    </xf>
    <xf numFmtId="0" fontId="32" fillId="0" borderId="0" xfId="0" quotePrefix="1" applyFont="1" applyAlignment="1">
      <alignment horizontal="center"/>
    </xf>
    <xf numFmtId="0" fontId="32" fillId="0" borderId="0" xfId="0" applyFont="1" applyAlignment="1">
      <alignment horizontal="center"/>
    </xf>
    <xf numFmtId="0" fontId="29" fillId="0" borderId="7" xfId="0" applyFont="1" applyBorder="1" applyAlignment="1">
      <alignment horizontal="center"/>
    </xf>
    <xf numFmtId="0" fontId="4" fillId="0" borderId="7" xfId="0" applyFont="1" applyBorder="1" applyAlignment="1">
      <alignment horizontal="center"/>
    </xf>
    <xf numFmtId="0" fontId="27" fillId="24" borderId="36" xfId="0" applyFont="1" applyFill="1" applyBorder="1" applyAlignment="1">
      <alignment horizontal="right" vertical="center"/>
    </xf>
    <xf numFmtId="0" fontId="3" fillId="24" borderId="27" xfId="0" applyFont="1" applyFill="1" applyBorder="1" applyAlignment="1">
      <alignment horizontal="right" vertical="center"/>
    </xf>
    <xf numFmtId="0" fontId="30" fillId="0" borderId="0" xfId="0" applyFont="1" applyAlignment="1">
      <alignment horizontal="center" vertical="center"/>
    </xf>
    <xf numFmtId="0" fontId="0" fillId="0" borderId="0" xfId="0" applyAlignment="1">
      <alignment horizontal="center" vertical="center"/>
    </xf>
    <xf numFmtId="0" fontId="36" fillId="0" borderId="0" xfId="0" applyFont="1" applyAlignment="1">
      <alignment horizontal="center" vertical="center"/>
    </xf>
    <xf numFmtId="0" fontId="0" fillId="24" borderId="33" xfId="0" applyFill="1" applyBorder="1" applyAlignment="1">
      <alignment horizontal="center" vertical="center"/>
    </xf>
    <xf numFmtId="0" fontId="0" fillId="24" borderId="35" xfId="0" applyFill="1" applyBorder="1" applyAlignment="1">
      <alignment horizontal="center" vertical="center"/>
    </xf>
    <xf numFmtId="164" fontId="27" fillId="24" borderId="33" xfId="0" applyNumberFormat="1" applyFont="1" applyFill="1" applyBorder="1" applyAlignment="1">
      <alignment horizontal="center" vertical="center"/>
    </xf>
    <xf numFmtId="164" fontId="27" fillId="24" borderId="35" xfId="0" applyNumberFormat="1" applyFont="1" applyFill="1" applyBorder="1" applyAlignment="1">
      <alignment horizontal="center" vertical="center"/>
    </xf>
    <xf numFmtId="0" fontId="32" fillId="24" borderId="33" xfId="0" applyFont="1" applyFill="1" applyBorder="1" applyAlignment="1">
      <alignment horizontal="center" vertical="center"/>
    </xf>
    <xf numFmtId="0" fontId="32" fillId="24" borderId="35" xfId="0" applyFont="1" applyFill="1" applyBorder="1" applyAlignment="1">
      <alignment horizontal="center" vertical="center"/>
    </xf>
    <xf numFmtId="0" fontId="27" fillId="0" borderId="0" xfId="0" applyFont="1" applyAlignment="1">
      <alignment horizontal="right" vertical="center"/>
    </xf>
    <xf numFmtId="0" fontId="27" fillId="0" borderId="26" xfId="0" applyFont="1" applyBorder="1" applyAlignment="1">
      <alignment horizontal="right" vertical="center"/>
    </xf>
    <xf numFmtId="0" fontId="40" fillId="21" borderId="0" xfId="0" applyFont="1" applyFill="1" applyAlignment="1">
      <alignment horizontal="center" vertical="center" wrapText="1"/>
    </xf>
    <xf numFmtId="165" fontId="2" fillId="0" borderId="9" xfId="0" applyNumberFormat="1" applyFont="1" applyBorder="1" applyAlignment="1">
      <alignment horizontal="center"/>
    </xf>
    <xf numFmtId="0" fontId="4" fillId="0" borderId="10" xfId="0" applyFont="1" applyBorder="1"/>
    <xf numFmtId="0" fontId="1" fillId="11" borderId="1" xfId="0" applyFont="1" applyFill="1" applyBorder="1" applyAlignment="1">
      <alignment horizontal="center"/>
    </xf>
    <xf numFmtId="0" fontId="4" fillId="0" borderId="2" xfId="0" applyFont="1" applyBorder="1"/>
    <xf numFmtId="0" fontId="4" fillId="0" borderId="3" xfId="0" applyFont="1" applyBorder="1"/>
    <xf numFmtId="0" fontId="14" fillId="0" borderId="9" xfId="0" applyFont="1" applyBorder="1" applyAlignment="1">
      <alignment horizontal="center" wrapText="1"/>
    </xf>
    <xf numFmtId="0" fontId="2" fillId="0" borderId="9" xfId="0" applyFont="1" applyBorder="1" applyAlignment="1">
      <alignment horizontal="center"/>
    </xf>
    <xf numFmtId="0" fontId="20" fillId="0" borderId="1" xfId="0" applyFont="1" applyBorder="1" applyAlignment="1">
      <alignment horizontal="right" vertical="center" wrapText="1"/>
    </xf>
    <xf numFmtId="9" fontId="1" fillId="3" borderId="17" xfId="0" applyNumberFormat="1" applyFont="1" applyFill="1" applyBorder="1" applyAlignment="1">
      <alignment horizontal="center" vertical="center"/>
    </xf>
    <xf numFmtId="9" fontId="4" fillId="0" borderId="18" xfId="0" applyNumberFormat="1" applyFont="1" applyBorder="1"/>
    <xf numFmtId="0" fontId="32" fillId="0" borderId="0" xfId="0" applyFont="1" applyAlignment="1">
      <alignment horizontal="center" vertical="center" wrapText="1"/>
    </xf>
    <xf numFmtId="0" fontId="2" fillId="22" borderId="16" xfId="0" applyFont="1" applyFill="1" applyBorder="1"/>
    <xf numFmtId="0" fontId="0" fillId="23" borderId="16" xfId="0" applyFill="1" applyBorder="1"/>
    <xf numFmtId="0" fontId="37" fillId="0" borderId="1" xfId="0" applyFont="1" applyBorder="1" applyAlignment="1">
      <alignment horizontal="right" vertical="center"/>
    </xf>
    <xf numFmtId="0" fontId="38" fillId="0" borderId="6" xfId="0" applyFont="1" applyBorder="1"/>
    <xf numFmtId="0" fontId="28" fillId="0" borderId="10" xfId="0" applyFont="1" applyBorder="1" applyAlignment="1">
      <alignment horizontal="center"/>
    </xf>
    <xf numFmtId="0" fontId="28" fillId="0" borderId="7" xfId="0" applyFont="1" applyBorder="1" applyAlignment="1">
      <alignment horizontal="center"/>
    </xf>
    <xf numFmtId="0" fontId="39" fillId="0" borderId="0" xfId="0" applyFont="1" applyAlignment="1">
      <alignment horizontal="center"/>
    </xf>
    <xf numFmtId="0" fontId="27" fillId="0" borderId="3" xfId="0" applyFont="1" applyBorder="1" applyAlignment="1">
      <alignment horizontal="center" vertical="center" wrapText="1"/>
    </xf>
    <xf numFmtId="0" fontId="4" fillId="0" borderId="5" xfId="0" applyFont="1" applyBorder="1" applyAlignment="1">
      <alignment horizontal="center" wrapText="1"/>
    </xf>
    <xf numFmtId="0" fontId="4" fillId="0" borderId="8" xfId="0" applyFont="1" applyBorder="1" applyAlignment="1">
      <alignment horizontal="center" wrapText="1"/>
    </xf>
    <xf numFmtId="0" fontId="28" fillId="0" borderId="1" xfId="0" applyFont="1" applyBorder="1" applyAlignment="1">
      <alignment horizontal="right" vertical="center"/>
    </xf>
    <xf numFmtId="0" fontId="10" fillId="0" borderId="4" xfId="0" applyFont="1" applyBorder="1" applyAlignment="1">
      <alignment horizontal="right" vertical="center"/>
    </xf>
    <xf numFmtId="0" fontId="10" fillId="0" borderId="6" xfId="0" applyFont="1" applyBorder="1" applyAlignment="1">
      <alignment horizontal="right" vertical="center"/>
    </xf>
    <xf numFmtId="0" fontId="1" fillId="0" borderId="9" xfId="0" applyFont="1" applyBorder="1" applyAlignment="1">
      <alignment horizontal="center"/>
    </xf>
    <xf numFmtId="1" fontId="1" fillId="4" borderId="7" xfId="0" applyNumberFormat="1" applyFont="1" applyFill="1" applyBorder="1"/>
    <xf numFmtId="0" fontId="4" fillId="0" borderId="7" xfId="0" applyFont="1" applyBorder="1"/>
    <xf numFmtId="0" fontId="1" fillId="4" borderId="7" xfId="0" applyFont="1" applyFill="1" applyBorder="1"/>
    <xf numFmtId="0" fontId="2" fillId="0" borderId="0" xfId="0" applyFont="1" applyAlignment="1">
      <alignment horizontal="center"/>
    </xf>
    <xf numFmtId="0" fontId="9" fillId="0" borderId="0" xfId="0" applyFont="1" applyAlignment="1">
      <alignment horizontal="center" vertical="center"/>
    </xf>
    <xf numFmtId="0" fontId="6" fillId="0" borderId="0" xfId="0" applyFont="1" applyAlignment="1">
      <alignment horizontal="center"/>
    </xf>
    <xf numFmtId="0" fontId="1" fillId="0" borderId="9" xfId="0" applyFont="1" applyBorder="1" applyAlignment="1">
      <alignment horizontal="center" vertical="center"/>
    </xf>
    <xf numFmtId="0" fontId="3" fillId="0" borderId="4" xfId="0" applyFont="1" applyBorder="1" applyAlignment="1">
      <alignment horizontal="right" vertical="center"/>
    </xf>
    <xf numFmtId="0" fontId="7" fillId="0" borderId="0" xfId="0" applyFont="1" applyAlignment="1">
      <alignment horizontal="center" vertical="center"/>
    </xf>
    <xf numFmtId="0" fontId="31" fillId="0" borderId="36" xfId="0" applyFont="1" applyBorder="1" applyAlignment="1">
      <alignment horizontal="center"/>
    </xf>
    <xf numFmtId="0" fontId="31" fillId="0" borderId="33" xfId="0" applyFont="1" applyBorder="1" applyAlignment="1">
      <alignment horizontal="center"/>
    </xf>
    <xf numFmtId="0" fontId="31" fillId="0" borderId="34" xfId="0" applyFont="1" applyBorder="1" applyAlignment="1">
      <alignment horizontal="center"/>
    </xf>
    <xf numFmtId="0" fontId="9" fillId="0" borderId="0" xfId="0" applyFont="1"/>
    <xf numFmtId="0" fontId="2" fillId="8" borderId="1" xfId="0" applyFont="1" applyFill="1" applyBorder="1" applyAlignment="1">
      <alignment horizontal="center"/>
    </xf>
    <xf numFmtId="0" fontId="2" fillId="8" borderId="36" xfId="0" applyFont="1" applyFill="1" applyBorder="1" applyAlignment="1">
      <alignment horizontal="center"/>
    </xf>
    <xf numFmtId="0" fontId="4" fillId="0" borderId="33" xfId="0" applyFont="1" applyBorder="1"/>
    <xf numFmtId="167" fontId="3" fillId="0" borderId="0" xfId="0" applyNumberFormat="1" applyFont="1" applyAlignment="1">
      <alignment horizontal="center"/>
    </xf>
    <xf numFmtId="0" fontId="7" fillId="0" borderId="0" xfId="0" applyFont="1" applyAlignment="1">
      <alignment horizontal="center" vertical="center" wrapText="1"/>
    </xf>
    <xf numFmtId="0" fontId="1" fillId="8" borderId="1" xfId="0" applyFont="1" applyFill="1" applyBorder="1" applyAlignment="1">
      <alignment horizontal="center"/>
    </xf>
    <xf numFmtId="0" fontId="7" fillId="0" borderId="0" xfId="0" applyFont="1"/>
    <xf numFmtId="0" fontId="1" fillId="11" borderId="19" xfId="0" applyFont="1" applyFill="1" applyBorder="1" applyAlignment="1">
      <alignment horizontal="center"/>
    </xf>
    <xf numFmtId="0" fontId="4" fillId="0" borderId="31" xfId="0" applyFont="1" applyBorder="1"/>
    <xf numFmtId="0" fontId="4" fillId="0" borderId="20" xfId="0" applyFont="1" applyBorder="1"/>
    <xf numFmtId="0" fontId="5" fillId="11" borderId="32" xfId="0" applyFont="1" applyFill="1" applyBorder="1" applyAlignment="1">
      <alignment horizontal="center"/>
    </xf>
    <xf numFmtId="0" fontId="4" fillId="0" borderId="34" xfId="0" applyFont="1" applyBorder="1"/>
    <xf numFmtId="164" fontId="0" fillId="20" borderId="35" xfId="0" applyNumberFormat="1" applyFill="1" applyBorder="1"/>
    <xf numFmtId="164" fontId="30" fillId="20" borderId="0" xfId="0" applyNumberFormat="1" applyFont="1" applyFill="1" applyBorder="1" applyAlignment="1">
      <alignment horizontal="right" wrapText="1"/>
    </xf>
    <xf numFmtId="164" fontId="0" fillId="0" borderId="0" xfId="0" applyNumberFormat="1"/>
    <xf numFmtId="164" fontId="0" fillId="20" borderId="0" xfId="0" applyNumberForma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7</xdr:col>
      <xdr:colOff>1885950</xdr:colOff>
      <xdr:row>61</xdr:row>
      <xdr:rowOff>171450</xdr:rowOff>
    </xdr:from>
    <xdr:ext cx="5629275" cy="6343650"/>
    <xdr:pic>
      <xdr:nvPicPr>
        <xdr:cNvPr id="2" name="image1.png" title="Image">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8</xdr:col>
      <xdr:colOff>19050</xdr:colOff>
      <xdr:row>8</xdr:row>
      <xdr:rowOff>0</xdr:rowOff>
    </xdr:from>
    <xdr:ext cx="5829300" cy="5067300"/>
    <xdr:pic>
      <xdr:nvPicPr>
        <xdr:cNvPr id="2" name="image6.png" title="Image">
          <a:extLst>
            <a:ext uri="{FF2B5EF4-FFF2-40B4-BE49-F238E27FC236}">
              <a16:creationId xmlns:a16="http://schemas.microsoft.com/office/drawing/2014/main" id="{00000000-0008-0000-0C00-000002000000}"/>
            </a:ext>
          </a:extLst>
        </xdr:cNvPr>
        <xdr:cNvPicPr preferRelativeResize="0"/>
      </xdr:nvPicPr>
      <xdr:blipFill>
        <a:blip xmlns:r="http://schemas.openxmlformats.org/officeDocument/2006/relationships" r:embed="rId1" cstate="print"/>
        <a:stretch>
          <a:fillRect/>
        </a:stretch>
      </xdr:blipFill>
      <xdr:spPr>
        <a:xfrm>
          <a:off x="11029950" y="1600200"/>
          <a:ext cx="5829300" cy="506730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J1031"/>
  <sheetViews>
    <sheetView workbookViewId="0">
      <selection activeCell="J12" sqref="J12"/>
    </sheetView>
  </sheetViews>
  <sheetFormatPr defaultColWidth="12.5703125" defaultRowHeight="15.75" customHeight="1"/>
  <cols>
    <col min="1" max="1" width="27.7109375" customWidth="1"/>
    <col min="2" max="2" width="41.28515625" customWidth="1"/>
    <col min="3" max="3" width="4.140625" customWidth="1"/>
    <col min="4" max="4" width="34.7109375" customWidth="1"/>
    <col min="5" max="5" width="2.42578125" customWidth="1"/>
    <col min="6" max="6" width="24.5703125" customWidth="1"/>
    <col min="7" max="7" width="2.42578125" customWidth="1"/>
    <col min="8" max="8" width="25.28515625" customWidth="1"/>
  </cols>
  <sheetData>
    <row r="1" spans="1:4">
      <c r="A1" s="215" t="s">
        <v>47</v>
      </c>
      <c r="B1" s="13" t="s">
        <v>48</v>
      </c>
      <c r="C1" s="1" t="s">
        <v>49</v>
      </c>
    </row>
    <row r="2" spans="1:4">
      <c r="A2" s="216"/>
      <c r="B2" s="14" t="s">
        <v>50</v>
      </c>
      <c r="C2" s="7"/>
    </row>
    <row r="3" spans="1:4">
      <c r="A3" s="15" t="s">
        <v>51</v>
      </c>
      <c r="B3" s="8" t="s">
        <v>52</v>
      </c>
    </row>
    <row r="4" spans="1:4">
      <c r="A4" s="15" t="s">
        <v>53</v>
      </c>
      <c r="B4" s="8" t="s">
        <v>54</v>
      </c>
    </row>
    <row r="5" spans="1:4">
      <c r="A5" s="15" t="s">
        <v>55</v>
      </c>
      <c r="B5" s="189" t="s">
        <v>448</v>
      </c>
    </row>
    <row r="6" spans="1:4">
      <c r="A6" s="16" t="s">
        <v>56</v>
      </c>
      <c r="B6" s="8" t="s">
        <v>57</v>
      </c>
      <c r="C6" s="8" t="s">
        <v>58</v>
      </c>
      <c r="D6" s="8" t="s">
        <v>59</v>
      </c>
    </row>
    <row r="7" spans="1:4">
      <c r="A7" s="15" t="s">
        <v>60</v>
      </c>
      <c r="B7" s="8" t="s">
        <v>61</v>
      </c>
    </row>
    <row r="8" spans="1:4">
      <c r="A8" s="15" t="s">
        <v>62</v>
      </c>
      <c r="B8" s="8" t="s">
        <v>63</v>
      </c>
      <c r="C8" s="8" t="s">
        <v>58</v>
      </c>
      <c r="D8" s="205" t="s">
        <v>64</v>
      </c>
    </row>
    <row r="9" spans="1:4">
      <c r="A9" s="15" t="s">
        <v>65</v>
      </c>
      <c r="B9" s="8" t="s">
        <v>66</v>
      </c>
    </row>
    <row r="10" spans="1:4">
      <c r="A10" s="15" t="s">
        <v>67</v>
      </c>
      <c r="B10" s="8" t="s">
        <v>68</v>
      </c>
    </row>
    <row r="11" spans="1:4">
      <c r="A11" s="15" t="s">
        <v>69</v>
      </c>
      <c r="B11" s="8" t="s">
        <v>70</v>
      </c>
      <c r="D11" s="8" t="s">
        <v>71</v>
      </c>
    </row>
    <row r="12" spans="1:4">
      <c r="A12" s="15" t="s">
        <v>72</v>
      </c>
      <c r="B12" s="8" t="s">
        <v>73</v>
      </c>
    </row>
    <row r="13" spans="1:4">
      <c r="A13" s="15" t="s">
        <v>74</v>
      </c>
      <c r="B13" s="8" t="s">
        <v>75</v>
      </c>
    </row>
    <row r="14" spans="1:4">
      <c r="A14" s="15" t="s">
        <v>76</v>
      </c>
      <c r="B14" s="8" t="s">
        <v>77</v>
      </c>
    </row>
    <row r="15" spans="1:4">
      <c r="A15" s="15" t="s">
        <v>78</v>
      </c>
      <c r="B15" s="8" t="s">
        <v>79</v>
      </c>
    </row>
    <row r="16" spans="1:4">
      <c r="A16" s="15" t="s">
        <v>80</v>
      </c>
      <c r="B16" s="8" t="s">
        <v>81</v>
      </c>
    </row>
    <row r="17" spans="1:10">
      <c r="A17" s="15" t="s">
        <v>82</v>
      </c>
      <c r="B17" s="8" t="s">
        <v>83</v>
      </c>
    </row>
    <row r="18" spans="1:10">
      <c r="A18" s="15" t="s">
        <v>84</v>
      </c>
      <c r="B18" s="8" t="s">
        <v>85</v>
      </c>
    </row>
    <row r="19" spans="1:10">
      <c r="A19" s="15" t="s">
        <v>86</v>
      </c>
      <c r="B19" s="8" t="s">
        <v>87</v>
      </c>
    </row>
    <row r="20" spans="1:10">
      <c r="A20" s="15" t="s">
        <v>88</v>
      </c>
      <c r="B20" s="8" t="s">
        <v>89</v>
      </c>
      <c r="C20" s="8" t="s">
        <v>58</v>
      </c>
      <c r="D20" s="8" t="s">
        <v>90</v>
      </c>
    </row>
    <row r="21" spans="1:10">
      <c r="A21" s="213" t="s">
        <v>91</v>
      </c>
      <c r="B21" s="11" t="s">
        <v>92</v>
      </c>
      <c r="C21" s="208" t="s">
        <v>58</v>
      </c>
      <c r="D21" s="11" t="s">
        <v>93</v>
      </c>
      <c r="E21" s="218" t="s">
        <v>58</v>
      </c>
      <c r="F21" s="11" t="s">
        <v>94</v>
      </c>
      <c r="G21" s="218" t="s">
        <v>58</v>
      </c>
      <c r="H21" s="11" t="s">
        <v>95</v>
      </c>
      <c r="I21" s="206" t="s">
        <v>96</v>
      </c>
      <c r="J21" s="207"/>
    </row>
    <row r="22" spans="1:10">
      <c r="A22" s="207"/>
      <c r="B22" s="8" t="s">
        <v>97</v>
      </c>
      <c r="C22" s="207"/>
      <c r="D22" s="8" t="s">
        <v>98</v>
      </c>
      <c r="E22" s="207"/>
      <c r="F22" s="8" t="s">
        <v>99</v>
      </c>
      <c r="G22" s="207"/>
      <c r="H22" s="8" t="s">
        <v>100</v>
      </c>
      <c r="I22" s="207"/>
      <c r="J22" s="207"/>
    </row>
    <row r="23" spans="1:10">
      <c r="A23" s="15" t="s">
        <v>101</v>
      </c>
      <c r="B23" s="8" t="s">
        <v>102</v>
      </c>
      <c r="C23" s="8"/>
      <c r="D23" s="8"/>
    </row>
    <row r="24" spans="1:10">
      <c r="A24" s="15" t="s">
        <v>103</v>
      </c>
      <c r="B24" s="8" t="s">
        <v>25</v>
      </c>
      <c r="C24" s="8" t="s">
        <v>58</v>
      </c>
      <c r="D24" s="8" t="s">
        <v>104</v>
      </c>
    </row>
    <row r="25" spans="1:10">
      <c r="A25" s="15" t="s">
        <v>105</v>
      </c>
      <c r="B25" s="8" t="s">
        <v>106</v>
      </c>
    </row>
    <row r="26" spans="1:10">
      <c r="A26" s="15" t="s">
        <v>107</v>
      </c>
      <c r="B26" s="8" t="s">
        <v>108</v>
      </c>
      <c r="C26" s="8" t="s">
        <v>58</v>
      </c>
      <c r="D26" s="189" t="s">
        <v>446</v>
      </c>
    </row>
    <row r="27" spans="1:10">
      <c r="A27" s="15" t="s">
        <v>109</v>
      </c>
      <c r="B27" s="8" t="s">
        <v>110</v>
      </c>
      <c r="C27" s="8" t="s">
        <v>58</v>
      </c>
      <c r="D27" s="8" t="s">
        <v>111</v>
      </c>
    </row>
    <row r="28" spans="1:10">
      <c r="A28" s="15" t="s">
        <v>112</v>
      </c>
      <c r="B28" s="8" t="s">
        <v>113</v>
      </c>
      <c r="C28" s="8" t="s">
        <v>58</v>
      </c>
      <c r="D28" s="8" t="s">
        <v>114</v>
      </c>
      <c r="F28" s="189" t="s">
        <v>447</v>
      </c>
    </row>
    <row r="29" spans="1:10">
      <c r="A29" s="15" t="s">
        <v>115</v>
      </c>
      <c r="B29" s="189" t="s">
        <v>116</v>
      </c>
      <c r="C29" s="8" t="s">
        <v>58</v>
      </c>
      <c r="D29" s="8" t="s">
        <v>117</v>
      </c>
    </row>
    <row r="30" spans="1:10">
      <c r="A30" s="213" t="s">
        <v>118</v>
      </c>
      <c r="B30" s="11" t="s">
        <v>119</v>
      </c>
      <c r="C30" s="208" t="s">
        <v>58</v>
      </c>
      <c r="D30" s="11" t="s">
        <v>120</v>
      </c>
    </row>
    <row r="31" spans="1:10">
      <c r="A31" s="207"/>
      <c r="B31" s="11" t="s">
        <v>121</v>
      </c>
      <c r="C31" s="207"/>
      <c r="D31" s="11" t="s">
        <v>122</v>
      </c>
    </row>
    <row r="32" spans="1:10">
      <c r="A32" s="15" t="s">
        <v>123</v>
      </c>
      <c r="B32" s="8" t="s">
        <v>124</v>
      </c>
    </row>
    <row r="33" spans="1:8">
      <c r="A33" s="15" t="s">
        <v>125</v>
      </c>
      <c r="B33" s="8" t="s">
        <v>120</v>
      </c>
    </row>
    <row r="34" spans="1:8">
      <c r="A34" s="15" t="s">
        <v>126</v>
      </c>
      <c r="B34" s="8" t="s">
        <v>127</v>
      </c>
    </row>
    <row r="35" spans="1:8">
      <c r="A35" s="15" t="s">
        <v>128</v>
      </c>
      <c r="B35" s="8" t="s">
        <v>129</v>
      </c>
    </row>
    <row r="36" spans="1:8">
      <c r="A36" s="15" t="s">
        <v>130</v>
      </c>
      <c r="B36" s="8" t="s">
        <v>131</v>
      </c>
    </row>
    <row r="37" spans="1:8">
      <c r="A37" s="15" t="s">
        <v>132</v>
      </c>
      <c r="B37" s="8" t="s">
        <v>133</v>
      </c>
    </row>
    <row r="38" spans="1:8">
      <c r="A38" s="15" t="s">
        <v>134</v>
      </c>
      <c r="B38" s="8" t="s">
        <v>135</v>
      </c>
      <c r="C38" s="8" t="s">
        <v>58</v>
      </c>
      <c r="D38" s="8" t="s">
        <v>136</v>
      </c>
      <c r="H38" s="8" t="s">
        <v>137</v>
      </c>
    </row>
    <row r="39" spans="1:8">
      <c r="A39" s="15" t="s">
        <v>134</v>
      </c>
      <c r="B39" s="8" t="s">
        <v>138</v>
      </c>
      <c r="C39" s="8"/>
      <c r="D39" s="8"/>
    </row>
    <row r="40" spans="1:8">
      <c r="A40" s="15" t="s">
        <v>139</v>
      </c>
      <c r="B40" s="8" t="s">
        <v>140</v>
      </c>
      <c r="C40" s="8" t="s">
        <v>58</v>
      </c>
      <c r="D40" s="8" t="s">
        <v>141</v>
      </c>
    </row>
    <row r="41" spans="1:8">
      <c r="A41" s="15" t="s">
        <v>142</v>
      </c>
      <c r="B41" s="8" t="s">
        <v>143</v>
      </c>
      <c r="C41" s="8" t="s">
        <v>58</v>
      </c>
      <c r="D41" s="8" t="s">
        <v>144</v>
      </c>
    </row>
    <row r="42" spans="1:8">
      <c r="A42" s="15" t="s">
        <v>145</v>
      </c>
      <c r="B42" s="8" t="s">
        <v>146</v>
      </c>
      <c r="C42" s="8"/>
      <c r="E42" s="8"/>
      <c r="F42" s="8"/>
    </row>
    <row r="43" spans="1:8">
      <c r="A43" s="15" t="s">
        <v>147</v>
      </c>
      <c r="B43" s="8" t="s">
        <v>148</v>
      </c>
      <c r="C43" s="8" t="s">
        <v>58</v>
      </c>
      <c r="D43" s="8" t="s">
        <v>149</v>
      </c>
      <c r="E43" s="8"/>
      <c r="F43" s="8"/>
    </row>
    <row r="44" spans="1:8">
      <c r="A44" s="15" t="s">
        <v>150</v>
      </c>
      <c r="B44" s="8" t="s">
        <v>151</v>
      </c>
      <c r="C44" s="8"/>
      <c r="D44" s="8"/>
      <c r="E44" s="8"/>
      <c r="F44" s="8"/>
    </row>
    <row r="45" spans="1:8">
      <c r="A45" s="15" t="s">
        <v>152</v>
      </c>
      <c r="B45" s="8" t="s">
        <v>153</v>
      </c>
      <c r="C45" s="8" t="s">
        <v>58</v>
      </c>
      <c r="D45" s="8" t="s">
        <v>154</v>
      </c>
      <c r="E45" s="8" t="s">
        <v>58</v>
      </c>
      <c r="F45" s="8" t="s">
        <v>155</v>
      </c>
    </row>
    <row r="46" spans="1:8">
      <c r="A46" s="15" t="s">
        <v>156</v>
      </c>
      <c r="B46" s="8" t="s">
        <v>157</v>
      </c>
      <c r="C46" s="8" t="s">
        <v>58</v>
      </c>
      <c r="D46" s="8" t="s">
        <v>158</v>
      </c>
    </row>
    <row r="47" spans="1:8">
      <c r="A47" s="15" t="s">
        <v>159</v>
      </c>
      <c r="B47" s="8" t="s">
        <v>160</v>
      </c>
    </row>
    <row r="48" spans="1:8">
      <c r="A48" s="15" t="s">
        <v>161</v>
      </c>
      <c r="B48" s="8" t="s">
        <v>162</v>
      </c>
    </row>
    <row r="49" spans="1:6">
      <c r="A49" s="15" t="s">
        <v>163</v>
      </c>
      <c r="B49" s="8" t="s">
        <v>164</v>
      </c>
    </row>
    <row r="50" spans="1:6">
      <c r="A50" s="15" t="s">
        <v>165</v>
      </c>
      <c r="B50" s="8" t="s">
        <v>166</v>
      </c>
    </row>
    <row r="51" spans="1:6">
      <c r="A51" s="15" t="s">
        <v>167</v>
      </c>
      <c r="B51" s="8" t="s">
        <v>168</v>
      </c>
    </row>
    <row r="52" spans="1:6">
      <c r="A52" s="15" t="s">
        <v>169</v>
      </c>
      <c r="B52" s="8" t="s">
        <v>170</v>
      </c>
    </row>
    <row r="53" spans="1:6">
      <c r="A53" s="15" t="s">
        <v>171</v>
      </c>
      <c r="B53" s="8" t="s">
        <v>172</v>
      </c>
    </row>
    <row r="54" spans="1:6">
      <c r="A54" s="213" t="s">
        <v>173</v>
      </c>
      <c r="B54" s="8" t="s">
        <v>174</v>
      </c>
    </row>
    <row r="55" spans="1:6">
      <c r="A55" s="207"/>
      <c r="B55" s="214" t="s">
        <v>175</v>
      </c>
      <c r="C55" s="207"/>
      <c r="D55" s="207"/>
    </row>
    <row r="56" spans="1:6">
      <c r="A56" s="17" t="s">
        <v>176</v>
      </c>
      <c r="B56" s="8" t="s">
        <v>177</v>
      </c>
      <c r="C56" s="8"/>
      <c r="D56" s="8"/>
    </row>
    <row r="57" spans="1:6">
      <c r="A57" s="213" t="s">
        <v>178</v>
      </c>
      <c r="B57" s="214" t="s">
        <v>179</v>
      </c>
      <c r="C57" s="207"/>
      <c r="D57" s="207"/>
    </row>
    <row r="58" spans="1:6">
      <c r="A58" s="207"/>
      <c r="B58" s="8" t="s">
        <v>180</v>
      </c>
    </row>
    <row r="59" spans="1:6">
      <c r="A59" s="15" t="s">
        <v>181</v>
      </c>
      <c r="B59" s="8" t="s">
        <v>182</v>
      </c>
    </row>
    <row r="60" spans="1:6">
      <c r="A60" s="15"/>
      <c r="B60" s="8" t="s">
        <v>183</v>
      </c>
    </row>
    <row r="61" spans="1:6">
      <c r="A61" s="15" t="s">
        <v>184</v>
      </c>
      <c r="B61" s="19" t="s">
        <v>185</v>
      </c>
      <c r="F61" s="8" t="s">
        <v>186</v>
      </c>
    </row>
    <row r="62" spans="1:6">
      <c r="A62" s="15"/>
    </row>
    <row r="63" spans="1:6">
      <c r="A63" s="215" t="s">
        <v>69</v>
      </c>
      <c r="B63" s="209" t="s">
        <v>48</v>
      </c>
      <c r="C63" s="210"/>
      <c r="D63" s="217" t="s">
        <v>187</v>
      </c>
      <c r="E63" s="207"/>
      <c r="F63" s="207"/>
    </row>
    <row r="64" spans="1:6">
      <c r="A64" s="216"/>
      <c r="B64" s="211" t="s">
        <v>188</v>
      </c>
      <c r="C64" s="212"/>
      <c r="D64" s="207"/>
      <c r="E64" s="207"/>
      <c r="F64" s="207"/>
    </row>
    <row r="65" spans="1:1">
      <c r="A65" s="15"/>
    </row>
    <row r="66" spans="1:1">
      <c r="A66" s="15"/>
    </row>
    <row r="67" spans="1:1">
      <c r="A67" s="15"/>
    </row>
    <row r="68" spans="1:1">
      <c r="A68" s="15"/>
    </row>
    <row r="69" spans="1:1">
      <c r="A69" s="15"/>
    </row>
    <row r="70" spans="1:1">
      <c r="A70" s="15"/>
    </row>
    <row r="71" spans="1:1">
      <c r="A71" s="15"/>
    </row>
    <row r="72" spans="1:1">
      <c r="A72" s="15"/>
    </row>
    <row r="73" spans="1:1">
      <c r="A73" s="15"/>
    </row>
    <row r="74" spans="1:1">
      <c r="A74" s="15"/>
    </row>
    <row r="75" spans="1:1">
      <c r="A75" s="15"/>
    </row>
    <row r="76" spans="1:1">
      <c r="A76" s="15"/>
    </row>
    <row r="77" spans="1:1">
      <c r="A77" s="15"/>
    </row>
    <row r="78" spans="1:1">
      <c r="A78" s="15"/>
    </row>
    <row r="79" spans="1:1">
      <c r="A79" s="15"/>
    </row>
    <row r="80" spans="1:1">
      <c r="A80" s="15"/>
    </row>
    <row r="81" spans="1:1">
      <c r="A81" s="15"/>
    </row>
    <row r="82" spans="1:1">
      <c r="A82" s="15"/>
    </row>
    <row r="83" spans="1:1">
      <c r="A83" s="15"/>
    </row>
    <row r="84" spans="1:1">
      <c r="A84" s="15"/>
    </row>
    <row r="85" spans="1:1">
      <c r="A85" s="15"/>
    </row>
    <row r="86" spans="1:1">
      <c r="A86" s="15"/>
    </row>
    <row r="87" spans="1:1">
      <c r="A87" s="15"/>
    </row>
    <row r="88" spans="1:1">
      <c r="A88" s="15"/>
    </row>
    <row r="89" spans="1:1">
      <c r="A89" s="15"/>
    </row>
    <row r="90" spans="1:1">
      <c r="A90" s="15"/>
    </row>
    <row r="91" spans="1:1">
      <c r="A91" s="15"/>
    </row>
    <row r="92" spans="1:1">
      <c r="A92" s="15"/>
    </row>
    <row r="93" spans="1:1">
      <c r="A93" s="15"/>
    </row>
    <row r="94" spans="1:1">
      <c r="A94" s="15"/>
    </row>
    <row r="95" spans="1:1">
      <c r="A95" s="15"/>
    </row>
    <row r="96" spans="1:1">
      <c r="A96" s="15"/>
    </row>
    <row r="97" spans="1:1">
      <c r="A97" s="15"/>
    </row>
    <row r="98" spans="1:1">
      <c r="A98" s="15"/>
    </row>
    <row r="99" spans="1:1">
      <c r="A99" s="15"/>
    </row>
    <row r="100" spans="1:1">
      <c r="A100" s="15"/>
    </row>
    <row r="101" spans="1:1">
      <c r="A101" s="15"/>
    </row>
    <row r="102" spans="1:1">
      <c r="A102" s="15"/>
    </row>
    <row r="103" spans="1:1">
      <c r="A103" s="15"/>
    </row>
    <row r="104" spans="1:1">
      <c r="A104" s="15"/>
    </row>
    <row r="105" spans="1:1">
      <c r="A105" s="15"/>
    </row>
    <row r="106" spans="1:1">
      <c r="A106" s="15"/>
    </row>
    <row r="107" spans="1:1">
      <c r="A107" s="15"/>
    </row>
    <row r="108" spans="1:1">
      <c r="A108" s="15"/>
    </row>
    <row r="109" spans="1:1">
      <c r="A109" s="15"/>
    </row>
    <row r="110" spans="1:1">
      <c r="A110" s="15"/>
    </row>
    <row r="111" spans="1:1">
      <c r="A111" s="15"/>
    </row>
    <row r="112" spans="1:1">
      <c r="A112" s="15"/>
    </row>
    <row r="113" spans="1:1">
      <c r="A113" s="15"/>
    </row>
    <row r="114" spans="1:1">
      <c r="A114" s="15"/>
    </row>
    <row r="115" spans="1:1">
      <c r="A115" s="15"/>
    </row>
    <row r="116" spans="1:1">
      <c r="A116" s="15"/>
    </row>
    <row r="117" spans="1:1">
      <c r="A117" s="15"/>
    </row>
    <row r="118" spans="1:1">
      <c r="A118" s="15"/>
    </row>
    <row r="119" spans="1:1">
      <c r="A119" s="15"/>
    </row>
    <row r="120" spans="1:1">
      <c r="A120" s="15"/>
    </row>
    <row r="121" spans="1:1">
      <c r="A121" s="15"/>
    </row>
    <row r="122" spans="1:1">
      <c r="A122" s="15"/>
    </row>
    <row r="123" spans="1:1">
      <c r="A123" s="15"/>
    </row>
    <row r="124" spans="1:1">
      <c r="A124" s="15"/>
    </row>
    <row r="125" spans="1:1">
      <c r="A125" s="15"/>
    </row>
    <row r="126" spans="1:1">
      <c r="A126" s="15"/>
    </row>
    <row r="127" spans="1:1">
      <c r="A127" s="15"/>
    </row>
    <row r="128" spans="1:1">
      <c r="A128" s="15"/>
    </row>
    <row r="129" spans="1:1">
      <c r="A129" s="15"/>
    </row>
    <row r="130" spans="1:1">
      <c r="A130" s="15"/>
    </row>
    <row r="131" spans="1:1">
      <c r="A131" s="15"/>
    </row>
    <row r="132" spans="1:1">
      <c r="A132" s="15"/>
    </row>
    <row r="133" spans="1:1">
      <c r="A133" s="15"/>
    </row>
    <row r="134" spans="1:1">
      <c r="A134" s="15"/>
    </row>
    <row r="135" spans="1:1">
      <c r="A135" s="15"/>
    </row>
    <row r="136" spans="1:1">
      <c r="A136" s="15"/>
    </row>
    <row r="137" spans="1:1">
      <c r="A137" s="15"/>
    </row>
    <row r="138" spans="1:1">
      <c r="A138" s="15"/>
    </row>
    <row r="139" spans="1:1">
      <c r="A139" s="15"/>
    </row>
    <row r="140" spans="1:1">
      <c r="A140" s="15"/>
    </row>
    <row r="141" spans="1:1">
      <c r="A141" s="15"/>
    </row>
    <row r="142" spans="1:1">
      <c r="A142" s="15"/>
    </row>
    <row r="143" spans="1:1">
      <c r="A143" s="15"/>
    </row>
    <row r="144" spans="1:1">
      <c r="A144" s="15"/>
    </row>
    <row r="145" spans="1:1">
      <c r="A145" s="15"/>
    </row>
    <row r="146" spans="1:1">
      <c r="A146" s="15"/>
    </row>
    <row r="147" spans="1:1">
      <c r="A147" s="15"/>
    </row>
    <row r="148" spans="1:1">
      <c r="A148" s="15"/>
    </row>
    <row r="149" spans="1:1">
      <c r="A149" s="15"/>
    </row>
    <row r="150" spans="1:1">
      <c r="A150" s="15"/>
    </row>
    <row r="151" spans="1:1">
      <c r="A151" s="15"/>
    </row>
    <row r="152" spans="1:1">
      <c r="A152" s="15"/>
    </row>
    <row r="153" spans="1:1">
      <c r="A153" s="15"/>
    </row>
    <row r="154" spans="1:1">
      <c r="A154" s="15"/>
    </row>
    <row r="155" spans="1:1">
      <c r="A155" s="15"/>
    </row>
    <row r="156" spans="1:1">
      <c r="A156" s="15"/>
    </row>
    <row r="157" spans="1:1">
      <c r="A157" s="15"/>
    </row>
    <row r="158" spans="1:1">
      <c r="A158" s="15"/>
    </row>
    <row r="159" spans="1:1">
      <c r="A159" s="15"/>
    </row>
    <row r="160" spans="1:1">
      <c r="A160" s="15"/>
    </row>
    <row r="161" spans="1:1">
      <c r="A161" s="15"/>
    </row>
    <row r="162" spans="1:1">
      <c r="A162" s="15"/>
    </row>
    <row r="163" spans="1:1">
      <c r="A163" s="15"/>
    </row>
    <row r="164" spans="1:1">
      <c r="A164" s="15"/>
    </row>
    <row r="165" spans="1:1">
      <c r="A165" s="15"/>
    </row>
    <row r="166" spans="1:1">
      <c r="A166" s="15"/>
    </row>
    <row r="167" spans="1:1">
      <c r="A167" s="15"/>
    </row>
    <row r="168" spans="1:1">
      <c r="A168" s="15"/>
    </row>
    <row r="169" spans="1:1">
      <c r="A169" s="15"/>
    </row>
    <row r="170" spans="1:1">
      <c r="A170" s="15"/>
    </row>
    <row r="171" spans="1:1">
      <c r="A171" s="15"/>
    </row>
    <row r="172" spans="1:1">
      <c r="A172" s="15"/>
    </row>
    <row r="173" spans="1:1">
      <c r="A173" s="15"/>
    </row>
    <row r="174" spans="1:1">
      <c r="A174" s="15"/>
    </row>
    <row r="175" spans="1:1">
      <c r="A175" s="15"/>
    </row>
    <row r="176" spans="1:1">
      <c r="A176" s="15"/>
    </row>
    <row r="177" spans="1:1">
      <c r="A177" s="15"/>
    </row>
    <row r="178" spans="1:1">
      <c r="A178" s="15"/>
    </row>
    <row r="179" spans="1:1">
      <c r="A179" s="15"/>
    </row>
    <row r="180" spans="1:1">
      <c r="A180" s="15"/>
    </row>
    <row r="181" spans="1:1">
      <c r="A181" s="15"/>
    </row>
    <row r="182" spans="1:1">
      <c r="A182" s="15"/>
    </row>
    <row r="183" spans="1:1">
      <c r="A183" s="15"/>
    </row>
    <row r="184" spans="1:1">
      <c r="A184" s="15"/>
    </row>
    <row r="185" spans="1:1">
      <c r="A185" s="15"/>
    </row>
    <row r="186" spans="1:1">
      <c r="A186" s="15"/>
    </row>
    <row r="187" spans="1:1">
      <c r="A187" s="15"/>
    </row>
    <row r="188" spans="1:1">
      <c r="A188" s="15"/>
    </row>
    <row r="189" spans="1:1">
      <c r="A189" s="15"/>
    </row>
    <row r="190" spans="1:1">
      <c r="A190" s="15"/>
    </row>
    <row r="191" spans="1:1">
      <c r="A191" s="15"/>
    </row>
    <row r="192" spans="1:1">
      <c r="A192" s="15"/>
    </row>
    <row r="193" spans="1:1">
      <c r="A193" s="15"/>
    </row>
    <row r="194" spans="1:1">
      <c r="A194" s="15"/>
    </row>
    <row r="195" spans="1:1">
      <c r="A195" s="15"/>
    </row>
    <row r="196" spans="1:1">
      <c r="A196" s="15"/>
    </row>
    <row r="197" spans="1:1">
      <c r="A197" s="15"/>
    </row>
    <row r="198" spans="1:1">
      <c r="A198" s="15"/>
    </row>
    <row r="199" spans="1:1">
      <c r="A199" s="15"/>
    </row>
    <row r="200" spans="1:1">
      <c r="A200" s="15"/>
    </row>
    <row r="201" spans="1:1">
      <c r="A201" s="15"/>
    </row>
    <row r="202" spans="1:1">
      <c r="A202" s="15"/>
    </row>
    <row r="203" spans="1:1">
      <c r="A203" s="15"/>
    </row>
    <row r="204" spans="1:1">
      <c r="A204" s="15"/>
    </row>
    <row r="205" spans="1:1">
      <c r="A205" s="15"/>
    </row>
    <row r="206" spans="1:1">
      <c r="A206" s="15"/>
    </row>
    <row r="207" spans="1:1">
      <c r="A207" s="15"/>
    </row>
    <row r="208" spans="1:1">
      <c r="A208" s="15"/>
    </row>
    <row r="209" spans="1:1">
      <c r="A209" s="15"/>
    </row>
    <row r="210" spans="1:1">
      <c r="A210" s="15"/>
    </row>
    <row r="211" spans="1:1">
      <c r="A211" s="15"/>
    </row>
    <row r="212" spans="1:1">
      <c r="A212" s="15"/>
    </row>
    <row r="213" spans="1:1">
      <c r="A213" s="15"/>
    </row>
    <row r="214" spans="1:1">
      <c r="A214" s="15"/>
    </row>
    <row r="215" spans="1:1">
      <c r="A215" s="15"/>
    </row>
    <row r="216" spans="1:1">
      <c r="A216" s="15"/>
    </row>
    <row r="217" spans="1:1">
      <c r="A217" s="15"/>
    </row>
    <row r="218" spans="1:1">
      <c r="A218" s="15"/>
    </row>
    <row r="219" spans="1:1">
      <c r="A219" s="15"/>
    </row>
    <row r="220" spans="1:1">
      <c r="A220" s="15"/>
    </row>
    <row r="221" spans="1:1">
      <c r="A221" s="15"/>
    </row>
    <row r="222" spans="1:1">
      <c r="A222" s="15"/>
    </row>
    <row r="223" spans="1:1">
      <c r="A223" s="15"/>
    </row>
    <row r="224" spans="1:1">
      <c r="A224" s="15"/>
    </row>
    <row r="225" spans="1:1">
      <c r="A225" s="15"/>
    </row>
    <row r="226" spans="1:1">
      <c r="A226" s="15"/>
    </row>
    <row r="227" spans="1:1">
      <c r="A227" s="15"/>
    </row>
    <row r="228" spans="1:1">
      <c r="A228" s="15"/>
    </row>
    <row r="229" spans="1:1">
      <c r="A229" s="15"/>
    </row>
    <row r="230" spans="1:1">
      <c r="A230" s="15"/>
    </row>
    <row r="231" spans="1:1">
      <c r="A231" s="15"/>
    </row>
    <row r="232" spans="1:1">
      <c r="A232" s="15"/>
    </row>
    <row r="233" spans="1:1">
      <c r="A233" s="15"/>
    </row>
    <row r="234" spans="1:1">
      <c r="A234" s="15"/>
    </row>
    <row r="235" spans="1:1">
      <c r="A235" s="15"/>
    </row>
    <row r="236" spans="1:1">
      <c r="A236" s="15"/>
    </row>
    <row r="237" spans="1:1">
      <c r="A237" s="15"/>
    </row>
    <row r="238" spans="1:1">
      <c r="A238" s="15"/>
    </row>
    <row r="239" spans="1:1">
      <c r="A239" s="15"/>
    </row>
    <row r="240" spans="1:1">
      <c r="A240" s="15"/>
    </row>
    <row r="241" spans="1:1">
      <c r="A241" s="15"/>
    </row>
    <row r="242" spans="1:1">
      <c r="A242" s="15"/>
    </row>
    <row r="243" spans="1:1">
      <c r="A243" s="15"/>
    </row>
    <row r="244" spans="1:1">
      <c r="A244" s="15"/>
    </row>
    <row r="245" spans="1:1">
      <c r="A245" s="15"/>
    </row>
    <row r="246" spans="1:1">
      <c r="A246" s="15"/>
    </row>
    <row r="247" spans="1:1">
      <c r="A247" s="15"/>
    </row>
    <row r="248" spans="1:1">
      <c r="A248" s="15"/>
    </row>
    <row r="249" spans="1:1">
      <c r="A249" s="15"/>
    </row>
    <row r="250" spans="1:1">
      <c r="A250" s="15"/>
    </row>
    <row r="251" spans="1:1">
      <c r="A251" s="15"/>
    </row>
    <row r="252" spans="1:1">
      <c r="A252" s="15"/>
    </row>
    <row r="253" spans="1:1">
      <c r="A253" s="15"/>
    </row>
    <row r="254" spans="1:1">
      <c r="A254" s="15"/>
    </row>
    <row r="255" spans="1:1">
      <c r="A255" s="15"/>
    </row>
    <row r="256" spans="1:1">
      <c r="A256" s="15"/>
    </row>
    <row r="257" spans="1:1">
      <c r="A257" s="15"/>
    </row>
    <row r="258" spans="1:1">
      <c r="A258" s="15"/>
    </row>
    <row r="259" spans="1:1">
      <c r="A259" s="15"/>
    </row>
    <row r="260" spans="1:1">
      <c r="A260" s="15"/>
    </row>
    <row r="261" spans="1:1">
      <c r="A261" s="15"/>
    </row>
    <row r="262" spans="1:1">
      <c r="A262" s="15"/>
    </row>
    <row r="263" spans="1:1">
      <c r="A263" s="15"/>
    </row>
    <row r="264" spans="1:1">
      <c r="A264" s="15"/>
    </row>
    <row r="265" spans="1:1">
      <c r="A265" s="15"/>
    </row>
    <row r="266" spans="1:1">
      <c r="A266" s="15"/>
    </row>
    <row r="267" spans="1:1">
      <c r="A267" s="15"/>
    </row>
    <row r="268" spans="1:1">
      <c r="A268" s="15"/>
    </row>
    <row r="269" spans="1:1">
      <c r="A269" s="15"/>
    </row>
    <row r="270" spans="1:1">
      <c r="A270" s="15"/>
    </row>
    <row r="271" spans="1:1">
      <c r="A271" s="15"/>
    </row>
    <row r="272" spans="1:1">
      <c r="A272" s="15"/>
    </row>
    <row r="273" spans="1:1">
      <c r="A273" s="15"/>
    </row>
    <row r="274" spans="1:1">
      <c r="A274" s="15"/>
    </row>
    <row r="275" spans="1:1">
      <c r="A275" s="15"/>
    </row>
    <row r="276" spans="1:1">
      <c r="A276" s="15"/>
    </row>
    <row r="277" spans="1:1">
      <c r="A277" s="15"/>
    </row>
    <row r="278" spans="1:1">
      <c r="A278" s="15"/>
    </row>
    <row r="279" spans="1:1">
      <c r="A279" s="15"/>
    </row>
    <row r="280" spans="1:1">
      <c r="A280" s="15"/>
    </row>
    <row r="281" spans="1:1">
      <c r="A281" s="15"/>
    </row>
    <row r="282" spans="1:1">
      <c r="A282" s="15"/>
    </row>
    <row r="283" spans="1:1">
      <c r="A283" s="15"/>
    </row>
    <row r="284" spans="1:1">
      <c r="A284" s="15"/>
    </row>
    <row r="285" spans="1:1">
      <c r="A285" s="15"/>
    </row>
    <row r="286" spans="1:1">
      <c r="A286" s="15"/>
    </row>
    <row r="287" spans="1:1">
      <c r="A287" s="15"/>
    </row>
    <row r="288" spans="1:1">
      <c r="A288" s="15"/>
    </row>
    <row r="289" spans="1:1">
      <c r="A289" s="15"/>
    </row>
    <row r="290" spans="1:1">
      <c r="A290" s="15"/>
    </row>
    <row r="291" spans="1:1">
      <c r="A291" s="15"/>
    </row>
    <row r="292" spans="1:1">
      <c r="A292" s="15"/>
    </row>
    <row r="293" spans="1:1">
      <c r="A293" s="15"/>
    </row>
    <row r="294" spans="1:1">
      <c r="A294" s="15"/>
    </row>
    <row r="295" spans="1:1">
      <c r="A295" s="15"/>
    </row>
    <row r="296" spans="1:1">
      <c r="A296" s="15"/>
    </row>
    <row r="297" spans="1:1">
      <c r="A297" s="15"/>
    </row>
    <row r="298" spans="1:1">
      <c r="A298" s="15"/>
    </row>
    <row r="299" spans="1:1">
      <c r="A299" s="15"/>
    </row>
    <row r="300" spans="1:1">
      <c r="A300" s="15"/>
    </row>
    <row r="301" spans="1:1">
      <c r="A301" s="15"/>
    </row>
    <row r="302" spans="1:1">
      <c r="A302" s="15"/>
    </row>
    <row r="303" spans="1:1">
      <c r="A303" s="15"/>
    </row>
    <row r="304" spans="1:1">
      <c r="A304" s="15"/>
    </row>
    <row r="305" spans="1:1">
      <c r="A305" s="15"/>
    </row>
    <row r="306" spans="1:1">
      <c r="A306" s="15"/>
    </row>
    <row r="307" spans="1:1">
      <c r="A307" s="15"/>
    </row>
    <row r="308" spans="1:1">
      <c r="A308" s="15"/>
    </row>
    <row r="309" spans="1:1">
      <c r="A309" s="15"/>
    </row>
    <row r="310" spans="1:1">
      <c r="A310" s="15"/>
    </row>
    <row r="311" spans="1:1">
      <c r="A311" s="15"/>
    </row>
    <row r="312" spans="1:1">
      <c r="A312" s="15"/>
    </row>
    <row r="313" spans="1:1">
      <c r="A313" s="15"/>
    </row>
    <row r="314" spans="1:1">
      <c r="A314" s="15"/>
    </row>
    <row r="315" spans="1:1">
      <c r="A315" s="15"/>
    </row>
    <row r="316" spans="1:1">
      <c r="A316" s="15"/>
    </row>
    <row r="317" spans="1:1">
      <c r="A317" s="15"/>
    </row>
    <row r="318" spans="1:1">
      <c r="A318" s="15"/>
    </row>
    <row r="319" spans="1:1">
      <c r="A319" s="15"/>
    </row>
    <row r="320" spans="1:1">
      <c r="A320" s="15"/>
    </row>
    <row r="321" spans="1:1">
      <c r="A321" s="15"/>
    </row>
    <row r="322" spans="1:1">
      <c r="A322" s="15"/>
    </row>
    <row r="323" spans="1:1">
      <c r="A323" s="15"/>
    </row>
    <row r="324" spans="1:1">
      <c r="A324" s="15"/>
    </row>
    <row r="325" spans="1:1">
      <c r="A325" s="15"/>
    </row>
    <row r="326" spans="1:1">
      <c r="A326" s="15"/>
    </row>
    <row r="327" spans="1:1">
      <c r="A327" s="15"/>
    </row>
    <row r="328" spans="1:1">
      <c r="A328" s="15"/>
    </row>
    <row r="329" spans="1:1">
      <c r="A329" s="15"/>
    </row>
    <row r="330" spans="1:1">
      <c r="A330" s="15"/>
    </row>
    <row r="331" spans="1:1">
      <c r="A331" s="15"/>
    </row>
    <row r="332" spans="1:1">
      <c r="A332" s="15"/>
    </row>
    <row r="333" spans="1:1">
      <c r="A333" s="15"/>
    </row>
    <row r="334" spans="1:1">
      <c r="A334" s="15"/>
    </row>
    <row r="335" spans="1:1">
      <c r="A335" s="15"/>
    </row>
    <row r="336" spans="1:1">
      <c r="A336" s="15"/>
    </row>
    <row r="337" spans="1:1">
      <c r="A337" s="15"/>
    </row>
    <row r="338" spans="1:1">
      <c r="A338" s="15"/>
    </row>
    <row r="339" spans="1:1">
      <c r="A339" s="15"/>
    </row>
    <row r="340" spans="1:1">
      <c r="A340" s="15"/>
    </row>
    <row r="341" spans="1:1">
      <c r="A341" s="15"/>
    </row>
    <row r="342" spans="1:1">
      <c r="A342" s="15"/>
    </row>
    <row r="343" spans="1:1">
      <c r="A343" s="15"/>
    </row>
    <row r="344" spans="1:1">
      <c r="A344" s="15"/>
    </row>
    <row r="345" spans="1:1">
      <c r="A345" s="15"/>
    </row>
    <row r="346" spans="1:1">
      <c r="A346" s="15"/>
    </row>
    <row r="347" spans="1:1">
      <c r="A347" s="15"/>
    </row>
    <row r="348" spans="1:1">
      <c r="A348" s="15"/>
    </row>
    <row r="349" spans="1:1">
      <c r="A349" s="15"/>
    </row>
    <row r="350" spans="1:1">
      <c r="A350" s="15"/>
    </row>
    <row r="351" spans="1:1">
      <c r="A351" s="15"/>
    </row>
    <row r="352" spans="1:1">
      <c r="A352" s="15"/>
    </row>
    <row r="353" spans="1:1">
      <c r="A353" s="15"/>
    </row>
    <row r="354" spans="1:1">
      <c r="A354" s="15"/>
    </row>
    <row r="355" spans="1:1">
      <c r="A355" s="15"/>
    </row>
    <row r="356" spans="1:1">
      <c r="A356" s="15"/>
    </row>
    <row r="357" spans="1:1">
      <c r="A357" s="15"/>
    </row>
    <row r="358" spans="1:1">
      <c r="A358" s="15"/>
    </row>
    <row r="359" spans="1:1">
      <c r="A359" s="15"/>
    </row>
    <row r="360" spans="1:1">
      <c r="A360" s="15"/>
    </row>
    <row r="361" spans="1:1">
      <c r="A361" s="15"/>
    </row>
    <row r="362" spans="1:1">
      <c r="A362" s="15"/>
    </row>
    <row r="363" spans="1:1">
      <c r="A363" s="15"/>
    </row>
    <row r="364" spans="1:1">
      <c r="A364" s="15"/>
    </row>
    <row r="365" spans="1:1">
      <c r="A365" s="15"/>
    </row>
    <row r="366" spans="1:1">
      <c r="A366" s="15"/>
    </row>
    <row r="367" spans="1:1">
      <c r="A367" s="15"/>
    </row>
    <row r="368" spans="1:1">
      <c r="A368" s="15"/>
    </row>
    <row r="369" spans="1:1">
      <c r="A369" s="15"/>
    </row>
    <row r="370" spans="1:1">
      <c r="A370" s="15"/>
    </row>
    <row r="371" spans="1:1">
      <c r="A371" s="15"/>
    </row>
    <row r="372" spans="1:1">
      <c r="A372" s="15"/>
    </row>
    <row r="373" spans="1:1">
      <c r="A373" s="15"/>
    </row>
    <row r="374" spans="1:1">
      <c r="A374" s="15"/>
    </row>
    <row r="375" spans="1:1">
      <c r="A375" s="15"/>
    </row>
    <row r="376" spans="1:1">
      <c r="A376" s="15"/>
    </row>
    <row r="377" spans="1:1">
      <c r="A377" s="15"/>
    </row>
    <row r="378" spans="1:1">
      <c r="A378" s="15"/>
    </row>
    <row r="379" spans="1:1">
      <c r="A379" s="15"/>
    </row>
    <row r="380" spans="1:1">
      <c r="A380" s="15"/>
    </row>
    <row r="381" spans="1:1">
      <c r="A381" s="15"/>
    </row>
    <row r="382" spans="1:1">
      <c r="A382" s="15"/>
    </row>
    <row r="383" spans="1:1">
      <c r="A383" s="15"/>
    </row>
    <row r="384" spans="1:1">
      <c r="A384" s="15"/>
    </row>
    <row r="385" spans="1:1">
      <c r="A385" s="15"/>
    </row>
    <row r="386" spans="1:1">
      <c r="A386" s="15"/>
    </row>
    <row r="387" spans="1:1">
      <c r="A387" s="15"/>
    </row>
    <row r="388" spans="1:1">
      <c r="A388" s="15"/>
    </row>
    <row r="389" spans="1:1">
      <c r="A389" s="15"/>
    </row>
    <row r="390" spans="1:1">
      <c r="A390" s="15"/>
    </row>
    <row r="391" spans="1:1">
      <c r="A391" s="15"/>
    </row>
    <row r="392" spans="1:1">
      <c r="A392" s="15"/>
    </row>
    <row r="393" spans="1:1">
      <c r="A393" s="15"/>
    </row>
    <row r="394" spans="1:1">
      <c r="A394" s="15"/>
    </row>
    <row r="395" spans="1:1">
      <c r="A395" s="15"/>
    </row>
    <row r="396" spans="1:1">
      <c r="A396" s="15"/>
    </row>
    <row r="397" spans="1:1">
      <c r="A397" s="15"/>
    </row>
    <row r="398" spans="1:1">
      <c r="A398" s="15"/>
    </row>
    <row r="399" spans="1:1">
      <c r="A399" s="15"/>
    </row>
    <row r="400" spans="1:1">
      <c r="A400" s="15"/>
    </row>
    <row r="401" spans="1:1">
      <c r="A401" s="15"/>
    </row>
    <row r="402" spans="1:1">
      <c r="A402" s="15"/>
    </row>
    <row r="403" spans="1:1">
      <c r="A403" s="15"/>
    </row>
    <row r="404" spans="1:1">
      <c r="A404" s="15"/>
    </row>
    <row r="405" spans="1:1">
      <c r="A405" s="15"/>
    </row>
    <row r="406" spans="1:1">
      <c r="A406" s="15"/>
    </row>
    <row r="407" spans="1:1">
      <c r="A407" s="15"/>
    </row>
    <row r="408" spans="1:1">
      <c r="A408" s="15"/>
    </row>
    <row r="409" spans="1:1">
      <c r="A409" s="15"/>
    </row>
    <row r="410" spans="1:1">
      <c r="A410" s="15"/>
    </row>
    <row r="411" spans="1:1">
      <c r="A411" s="15"/>
    </row>
    <row r="412" spans="1:1">
      <c r="A412" s="15"/>
    </row>
    <row r="413" spans="1:1">
      <c r="A413" s="15"/>
    </row>
    <row r="414" spans="1:1">
      <c r="A414" s="15"/>
    </row>
    <row r="415" spans="1:1">
      <c r="A415" s="15"/>
    </row>
    <row r="416" spans="1:1">
      <c r="A416" s="15"/>
    </row>
    <row r="417" spans="1:1">
      <c r="A417" s="15"/>
    </row>
    <row r="418" spans="1:1">
      <c r="A418" s="15"/>
    </row>
    <row r="419" spans="1:1">
      <c r="A419" s="15"/>
    </row>
    <row r="420" spans="1:1">
      <c r="A420" s="15"/>
    </row>
    <row r="421" spans="1:1">
      <c r="A421" s="15"/>
    </row>
    <row r="422" spans="1:1">
      <c r="A422" s="15"/>
    </row>
    <row r="423" spans="1:1">
      <c r="A423" s="15"/>
    </row>
    <row r="424" spans="1:1">
      <c r="A424" s="15"/>
    </row>
    <row r="425" spans="1:1">
      <c r="A425" s="15"/>
    </row>
    <row r="426" spans="1:1">
      <c r="A426" s="15"/>
    </row>
    <row r="427" spans="1:1">
      <c r="A427" s="15"/>
    </row>
    <row r="428" spans="1:1">
      <c r="A428" s="15"/>
    </row>
    <row r="429" spans="1:1">
      <c r="A429" s="15"/>
    </row>
    <row r="430" spans="1:1">
      <c r="A430" s="15"/>
    </row>
    <row r="431" spans="1:1">
      <c r="A431" s="15"/>
    </row>
    <row r="432" spans="1:1">
      <c r="A432" s="15"/>
    </row>
    <row r="433" spans="1:1">
      <c r="A433" s="15"/>
    </row>
    <row r="434" spans="1:1">
      <c r="A434" s="15"/>
    </row>
    <row r="435" spans="1:1">
      <c r="A435" s="15"/>
    </row>
    <row r="436" spans="1:1">
      <c r="A436" s="15"/>
    </row>
    <row r="437" spans="1:1">
      <c r="A437" s="15"/>
    </row>
    <row r="438" spans="1:1">
      <c r="A438" s="15"/>
    </row>
    <row r="439" spans="1:1">
      <c r="A439" s="15"/>
    </row>
    <row r="440" spans="1:1">
      <c r="A440" s="15"/>
    </row>
    <row r="441" spans="1:1">
      <c r="A441" s="15"/>
    </row>
    <row r="442" spans="1:1">
      <c r="A442" s="15"/>
    </row>
    <row r="443" spans="1:1">
      <c r="A443" s="15"/>
    </row>
    <row r="444" spans="1:1">
      <c r="A444" s="15"/>
    </row>
    <row r="445" spans="1:1">
      <c r="A445" s="15"/>
    </row>
    <row r="446" spans="1:1">
      <c r="A446" s="15"/>
    </row>
    <row r="447" spans="1:1">
      <c r="A447" s="15"/>
    </row>
    <row r="448" spans="1:1">
      <c r="A448" s="15"/>
    </row>
    <row r="449" spans="1:1">
      <c r="A449" s="15"/>
    </row>
    <row r="450" spans="1:1">
      <c r="A450" s="15"/>
    </row>
    <row r="451" spans="1:1">
      <c r="A451" s="15"/>
    </row>
    <row r="452" spans="1:1">
      <c r="A452" s="15"/>
    </row>
    <row r="453" spans="1:1">
      <c r="A453" s="15"/>
    </row>
    <row r="454" spans="1:1">
      <c r="A454" s="15"/>
    </row>
    <row r="455" spans="1:1">
      <c r="A455" s="15"/>
    </row>
    <row r="456" spans="1:1">
      <c r="A456" s="15"/>
    </row>
    <row r="457" spans="1:1">
      <c r="A457" s="15"/>
    </row>
    <row r="458" spans="1:1">
      <c r="A458" s="15"/>
    </row>
    <row r="459" spans="1:1">
      <c r="A459" s="15"/>
    </row>
    <row r="460" spans="1:1">
      <c r="A460" s="15"/>
    </row>
    <row r="461" spans="1:1">
      <c r="A461" s="15"/>
    </row>
    <row r="462" spans="1:1">
      <c r="A462" s="15"/>
    </row>
    <row r="463" spans="1:1">
      <c r="A463" s="15"/>
    </row>
    <row r="464" spans="1:1">
      <c r="A464" s="15"/>
    </row>
    <row r="465" spans="1:1">
      <c r="A465" s="15"/>
    </row>
    <row r="466" spans="1:1">
      <c r="A466" s="15"/>
    </row>
    <row r="467" spans="1:1">
      <c r="A467" s="15"/>
    </row>
    <row r="468" spans="1:1">
      <c r="A468" s="15"/>
    </row>
    <row r="469" spans="1:1">
      <c r="A469" s="15"/>
    </row>
    <row r="470" spans="1:1">
      <c r="A470" s="15"/>
    </row>
    <row r="471" spans="1:1">
      <c r="A471" s="15"/>
    </row>
    <row r="472" spans="1:1">
      <c r="A472" s="15"/>
    </row>
    <row r="473" spans="1:1">
      <c r="A473" s="15"/>
    </row>
    <row r="474" spans="1:1">
      <c r="A474" s="15"/>
    </row>
    <row r="475" spans="1:1">
      <c r="A475" s="15"/>
    </row>
    <row r="476" spans="1:1">
      <c r="A476" s="15"/>
    </row>
    <row r="477" spans="1:1">
      <c r="A477" s="15"/>
    </row>
    <row r="478" spans="1:1">
      <c r="A478" s="15"/>
    </row>
    <row r="479" spans="1:1">
      <c r="A479" s="15"/>
    </row>
    <row r="480" spans="1:1">
      <c r="A480" s="15"/>
    </row>
    <row r="481" spans="1:1">
      <c r="A481" s="15"/>
    </row>
    <row r="482" spans="1:1">
      <c r="A482" s="15"/>
    </row>
    <row r="483" spans="1:1">
      <c r="A483" s="15"/>
    </row>
    <row r="484" spans="1:1">
      <c r="A484" s="15"/>
    </row>
    <row r="485" spans="1:1">
      <c r="A485" s="15"/>
    </row>
    <row r="486" spans="1:1">
      <c r="A486" s="15"/>
    </row>
    <row r="487" spans="1:1">
      <c r="A487" s="15"/>
    </row>
    <row r="488" spans="1:1">
      <c r="A488" s="15"/>
    </row>
    <row r="489" spans="1:1">
      <c r="A489" s="15"/>
    </row>
    <row r="490" spans="1:1">
      <c r="A490" s="15"/>
    </row>
    <row r="491" spans="1:1">
      <c r="A491" s="15"/>
    </row>
    <row r="492" spans="1:1">
      <c r="A492" s="15"/>
    </row>
    <row r="493" spans="1:1">
      <c r="A493" s="15"/>
    </row>
    <row r="494" spans="1:1">
      <c r="A494" s="15"/>
    </row>
    <row r="495" spans="1:1">
      <c r="A495" s="15"/>
    </row>
    <row r="496" spans="1:1">
      <c r="A496" s="15"/>
    </row>
    <row r="497" spans="1:1">
      <c r="A497" s="15"/>
    </row>
    <row r="498" spans="1:1">
      <c r="A498" s="15"/>
    </row>
    <row r="499" spans="1:1">
      <c r="A499" s="15"/>
    </row>
    <row r="500" spans="1:1">
      <c r="A500" s="15"/>
    </row>
    <row r="501" spans="1:1">
      <c r="A501" s="15"/>
    </row>
    <row r="502" spans="1:1">
      <c r="A502" s="15"/>
    </row>
    <row r="503" spans="1:1">
      <c r="A503" s="15"/>
    </row>
    <row r="504" spans="1:1">
      <c r="A504" s="15"/>
    </row>
    <row r="505" spans="1:1">
      <c r="A505" s="15"/>
    </row>
    <row r="506" spans="1:1">
      <c r="A506" s="15"/>
    </row>
    <row r="507" spans="1:1">
      <c r="A507" s="15"/>
    </row>
    <row r="508" spans="1:1">
      <c r="A508" s="15"/>
    </row>
    <row r="509" spans="1:1">
      <c r="A509" s="15"/>
    </row>
    <row r="510" spans="1:1">
      <c r="A510" s="15"/>
    </row>
    <row r="511" spans="1:1">
      <c r="A511" s="15"/>
    </row>
    <row r="512" spans="1:1">
      <c r="A512" s="15"/>
    </row>
    <row r="513" spans="1:1">
      <c r="A513" s="15"/>
    </row>
    <row r="514" spans="1:1">
      <c r="A514" s="15"/>
    </row>
    <row r="515" spans="1:1">
      <c r="A515" s="15"/>
    </row>
    <row r="516" spans="1:1">
      <c r="A516" s="15"/>
    </row>
    <row r="517" spans="1:1">
      <c r="A517" s="15"/>
    </row>
    <row r="518" spans="1:1">
      <c r="A518" s="15"/>
    </row>
    <row r="519" spans="1:1">
      <c r="A519" s="15"/>
    </row>
    <row r="520" spans="1:1">
      <c r="A520" s="15"/>
    </row>
    <row r="521" spans="1:1">
      <c r="A521" s="15"/>
    </row>
    <row r="522" spans="1:1">
      <c r="A522" s="15"/>
    </row>
    <row r="523" spans="1:1">
      <c r="A523" s="15"/>
    </row>
    <row r="524" spans="1:1">
      <c r="A524" s="15"/>
    </row>
    <row r="525" spans="1:1">
      <c r="A525" s="15"/>
    </row>
    <row r="526" spans="1:1">
      <c r="A526" s="15"/>
    </row>
    <row r="527" spans="1:1">
      <c r="A527" s="15"/>
    </row>
    <row r="528" spans="1:1">
      <c r="A528" s="15"/>
    </row>
    <row r="529" spans="1:1">
      <c r="A529" s="15"/>
    </row>
    <row r="530" spans="1:1">
      <c r="A530" s="15"/>
    </row>
    <row r="531" spans="1:1">
      <c r="A531" s="15"/>
    </row>
    <row r="532" spans="1:1">
      <c r="A532" s="15"/>
    </row>
    <row r="533" spans="1:1">
      <c r="A533" s="15"/>
    </row>
    <row r="534" spans="1:1">
      <c r="A534" s="15"/>
    </row>
    <row r="535" spans="1:1">
      <c r="A535" s="15"/>
    </row>
    <row r="536" spans="1:1">
      <c r="A536" s="15"/>
    </row>
    <row r="537" spans="1:1">
      <c r="A537" s="15"/>
    </row>
    <row r="538" spans="1:1">
      <c r="A538" s="15"/>
    </row>
    <row r="539" spans="1:1">
      <c r="A539" s="15"/>
    </row>
    <row r="540" spans="1:1">
      <c r="A540" s="15"/>
    </row>
    <row r="541" spans="1:1">
      <c r="A541" s="15"/>
    </row>
    <row r="542" spans="1:1">
      <c r="A542" s="15"/>
    </row>
    <row r="543" spans="1:1">
      <c r="A543" s="15"/>
    </row>
    <row r="544" spans="1:1">
      <c r="A544" s="15"/>
    </row>
    <row r="545" spans="1:1">
      <c r="A545" s="15"/>
    </row>
    <row r="546" spans="1:1">
      <c r="A546" s="15"/>
    </row>
    <row r="547" spans="1:1">
      <c r="A547" s="15"/>
    </row>
    <row r="548" spans="1:1">
      <c r="A548" s="15"/>
    </row>
    <row r="549" spans="1:1">
      <c r="A549" s="15"/>
    </row>
    <row r="550" spans="1:1">
      <c r="A550" s="15"/>
    </row>
    <row r="551" spans="1:1">
      <c r="A551" s="15"/>
    </row>
    <row r="552" spans="1:1">
      <c r="A552" s="15"/>
    </row>
    <row r="553" spans="1:1">
      <c r="A553" s="15"/>
    </row>
    <row r="554" spans="1:1">
      <c r="A554" s="15"/>
    </row>
    <row r="555" spans="1:1">
      <c r="A555" s="15"/>
    </row>
    <row r="556" spans="1:1">
      <c r="A556" s="15"/>
    </row>
    <row r="557" spans="1:1">
      <c r="A557" s="15"/>
    </row>
    <row r="558" spans="1:1">
      <c r="A558" s="15"/>
    </row>
    <row r="559" spans="1:1">
      <c r="A559" s="15"/>
    </row>
    <row r="560" spans="1:1">
      <c r="A560" s="15"/>
    </row>
    <row r="561" spans="1:1">
      <c r="A561" s="15"/>
    </row>
    <row r="562" spans="1:1">
      <c r="A562" s="15"/>
    </row>
    <row r="563" spans="1:1">
      <c r="A563" s="15"/>
    </row>
    <row r="564" spans="1:1">
      <c r="A564" s="15"/>
    </row>
    <row r="565" spans="1:1">
      <c r="A565" s="15"/>
    </row>
    <row r="566" spans="1:1">
      <c r="A566" s="15"/>
    </row>
    <row r="567" spans="1:1">
      <c r="A567" s="15"/>
    </row>
    <row r="568" spans="1:1">
      <c r="A568" s="15"/>
    </row>
    <row r="569" spans="1:1">
      <c r="A569" s="15"/>
    </row>
    <row r="570" spans="1:1">
      <c r="A570" s="15"/>
    </row>
    <row r="571" spans="1:1">
      <c r="A571" s="15"/>
    </row>
    <row r="572" spans="1:1">
      <c r="A572" s="15"/>
    </row>
    <row r="573" spans="1:1">
      <c r="A573" s="15"/>
    </row>
    <row r="574" spans="1:1">
      <c r="A574" s="15"/>
    </row>
    <row r="575" spans="1:1">
      <c r="A575" s="15"/>
    </row>
    <row r="576" spans="1:1">
      <c r="A576" s="15"/>
    </row>
    <row r="577" spans="1:1">
      <c r="A577" s="15"/>
    </row>
    <row r="578" spans="1:1">
      <c r="A578" s="15"/>
    </row>
    <row r="579" spans="1:1">
      <c r="A579" s="15"/>
    </row>
    <row r="580" spans="1:1">
      <c r="A580" s="15"/>
    </row>
    <row r="581" spans="1:1">
      <c r="A581" s="15"/>
    </row>
    <row r="582" spans="1:1">
      <c r="A582" s="15"/>
    </row>
    <row r="583" spans="1:1">
      <c r="A583" s="15"/>
    </row>
    <row r="584" spans="1:1">
      <c r="A584" s="15"/>
    </row>
    <row r="585" spans="1:1">
      <c r="A585" s="15"/>
    </row>
    <row r="586" spans="1:1">
      <c r="A586" s="15"/>
    </row>
    <row r="587" spans="1:1">
      <c r="A587" s="15"/>
    </row>
    <row r="588" spans="1:1">
      <c r="A588" s="15"/>
    </row>
    <row r="589" spans="1:1">
      <c r="A589" s="15"/>
    </row>
    <row r="590" spans="1:1">
      <c r="A590" s="15"/>
    </row>
    <row r="591" spans="1:1">
      <c r="A591" s="15"/>
    </row>
    <row r="592" spans="1:1">
      <c r="A592" s="15"/>
    </row>
    <row r="593" spans="1:1">
      <c r="A593" s="15"/>
    </row>
    <row r="594" spans="1:1">
      <c r="A594" s="15"/>
    </row>
    <row r="595" spans="1:1">
      <c r="A595" s="15"/>
    </row>
    <row r="596" spans="1:1">
      <c r="A596" s="15"/>
    </row>
    <row r="597" spans="1:1">
      <c r="A597" s="15"/>
    </row>
    <row r="598" spans="1:1">
      <c r="A598" s="15"/>
    </row>
    <row r="599" spans="1:1">
      <c r="A599" s="15"/>
    </row>
    <row r="600" spans="1:1">
      <c r="A600" s="15"/>
    </row>
    <row r="601" spans="1:1">
      <c r="A601" s="15"/>
    </row>
    <row r="602" spans="1:1">
      <c r="A602" s="15"/>
    </row>
    <row r="603" spans="1:1">
      <c r="A603" s="15"/>
    </row>
    <row r="604" spans="1:1">
      <c r="A604" s="15"/>
    </row>
    <row r="605" spans="1:1">
      <c r="A605" s="15"/>
    </row>
    <row r="606" spans="1:1">
      <c r="A606" s="15"/>
    </row>
    <row r="607" spans="1:1">
      <c r="A607" s="15"/>
    </row>
    <row r="608" spans="1:1">
      <c r="A608" s="15"/>
    </row>
    <row r="609" spans="1:1">
      <c r="A609" s="15"/>
    </row>
    <row r="610" spans="1:1">
      <c r="A610" s="15"/>
    </row>
    <row r="611" spans="1:1">
      <c r="A611" s="15"/>
    </row>
    <row r="612" spans="1:1">
      <c r="A612" s="15"/>
    </row>
    <row r="613" spans="1:1">
      <c r="A613" s="15"/>
    </row>
    <row r="614" spans="1:1">
      <c r="A614" s="15"/>
    </row>
    <row r="615" spans="1:1">
      <c r="A615" s="15"/>
    </row>
    <row r="616" spans="1:1">
      <c r="A616" s="15"/>
    </row>
    <row r="617" spans="1:1">
      <c r="A617" s="15"/>
    </row>
    <row r="618" spans="1:1">
      <c r="A618" s="15"/>
    </row>
    <row r="619" spans="1:1">
      <c r="A619" s="15"/>
    </row>
    <row r="620" spans="1:1">
      <c r="A620" s="15"/>
    </row>
    <row r="621" spans="1:1">
      <c r="A621" s="15"/>
    </row>
    <row r="622" spans="1:1">
      <c r="A622" s="15"/>
    </row>
    <row r="623" spans="1:1">
      <c r="A623" s="15"/>
    </row>
    <row r="624" spans="1:1">
      <c r="A624" s="15"/>
    </row>
    <row r="625" spans="1:1">
      <c r="A625" s="15"/>
    </row>
    <row r="626" spans="1:1">
      <c r="A626" s="15"/>
    </row>
    <row r="627" spans="1:1">
      <c r="A627" s="15"/>
    </row>
    <row r="628" spans="1:1">
      <c r="A628" s="15"/>
    </row>
    <row r="629" spans="1:1">
      <c r="A629" s="15"/>
    </row>
    <row r="630" spans="1:1">
      <c r="A630" s="15"/>
    </row>
    <row r="631" spans="1:1">
      <c r="A631" s="15"/>
    </row>
    <row r="632" spans="1:1">
      <c r="A632" s="15"/>
    </row>
    <row r="633" spans="1:1">
      <c r="A633" s="15"/>
    </row>
    <row r="634" spans="1:1">
      <c r="A634" s="15"/>
    </row>
    <row r="635" spans="1:1">
      <c r="A635" s="15"/>
    </row>
    <row r="636" spans="1:1">
      <c r="A636" s="15"/>
    </row>
    <row r="637" spans="1:1">
      <c r="A637" s="15"/>
    </row>
    <row r="638" spans="1:1">
      <c r="A638" s="15"/>
    </row>
    <row r="639" spans="1:1">
      <c r="A639" s="15"/>
    </row>
    <row r="640" spans="1:1">
      <c r="A640" s="15"/>
    </row>
    <row r="641" spans="1:1">
      <c r="A641" s="15"/>
    </row>
    <row r="642" spans="1:1">
      <c r="A642" s="15"/>
    </row>
    <row r="643" spans="1:1">
      <c r="A643" s="15"/>
    </row>
    <row r="644" spans="1:1">
      <c r="A644" s="15"/>
    </row>
    <row r="645" spans="1:1">
      <c r="A645" s="15"/>
    </row>
    <row r="646" spans="1:1">
      <c r="A646" s="15"/>
    </row>
    <row r="647" spans="1:1">
      <c r="A647" s="15"/>
    </row>
    <row r="648" spans="1:1">
      <c r="A648" s="15"/>
    </row>
    <row r="649" spans="1:1">
      <c r="A649" s="15"/>
    </row>
    <row r="650" spans="1:1">
      <c r="A650" s="15"/>
    </row>
    <row r="651" spans="1:1">
      <c r="A651" s="15"/>
    </row>
    <row r="652" spans="1:1">
      <c r="A652" s="15"/>
    </row>
    <row r="653" spans="1:1">
      <c r="A653" s="15"/>
    </row>
    <row r="654" spans="1:1">
      <c r="A654" s="15"/>
    </row>
    <row r="655" spans="1:1">
      <c r="A655" s="15"/>
    </row>
    <row r="656" spans="1:1">
      <c r="A656" s="15"/>
    </row>
    <row r="657" spans="1:1">
      <c r="A657" s="15"/>
    </row>
    <row r="658" spans="1:1">
      <c r="A658" s="15"/>
    </row>
    <row r="659" spans="1:1">
      <c r="A659" s="15"/>
    </row>
    <row r="660" spans="1:1">
      <c r="A660" s="15"/>
    </row>
    <row r="661" spans="1:1">
      <c r="A661" s="15"/>
    </row>
    <row r="662" spans="1:1">
      <c r="A662" s="15"/>
    </row>
    <row r="663" spans="1:1">
      <c r="A663" s="15"/>
    </row>
    <row r="664" spans="1:1">
      <c r="A664" s="15"/>
    </row>
    <row r="665" spans="1:1">
      <c r="A665" s="15"/>
    </row>
    <row r="666" spans="1:1">
      <c r="A666" s="15"/>
    </row>
    <row r="667" spans="1:1">
      <c r="A667" s="15"/>
    </row>
    <row r="668" spans="1:1">
      <c r="A668" s="15"/>
    </row>
    <row r="669" spans="1:1">
      <c r="A669" s="15"/>
    </row>
    <row r="670" spans="1:1">
      <c r="A670" s="15"/>
    </row>
    <row r="671" spans="1:1">
      <c r="A671" s="15"/>
    </row>
    <row r="672" spans="1:1">
      <c r="A672" s="15"/>
    </row>
    <row r="673" spans="1:1">
      <c r="A673" s="15"/>
    </row>
    <row r="674" spans="1:1">
      <c r="A674" s="15"/>
    </row>
    <row r="675" spans="1:1">
      <c r="A675" s="15"/>
    </row>
    <row r="676" spans="1:1">
      <c r="A676" s="15"/>
    </row>
    <row r="677" spans="1:1">
      <c r="A677" s="15"/>
    </row>
    <row r="678" spans="1:1">
      <c r="A678" s="15"/>
    </row>
    <row r="679" spans="1:1">
      <c r="A679" s="15"/>
    </row>
    <row r="680" spans="1:1">
      <c r="A680" s="15"/>
    </row>
    <row r="681" spans="1:1">
      <c r="A681" s="15"/>
    </row>
    <row r="682" spans="1:1">
      <c r="A682" s="15"/>
    </row>
    <row r="683" spans="1:1">
      <c r="A683" s="15"/>
    </row>
    <row r="684" spans="1:1">
      <c r="A684" s="15"/>
    </row>
    <row r="685" spans="1:1">
      <c r="A685" s="15"/>
    </row>
    <row r="686" spans="1:1">
      <c r="A686" s="15"/>
    </row>
    <row r="687" spans="1:1">
      <c r="A687" s="15"/>
    </row>
    <row r="688" spans="1:1">
      <c r="A688" s="15"/>
    </row>
    <row r="689" spans="1:1">
      <c r="A689" s="15"/>
    </row>
    <row r="690" spans="1:1">
      <c r="A690" s="15"/>
    </row>
    <row r="691" spans="1:1">
      <c r="A691" s="15"/>
    </row>
    <row r="692" spans="1:1">
      <c r="A692" s="15"/>
    </row>
    <row r="693" spans="1:1">
      <c r="A693" s="15"/>
    </row>
    <row r="694" spans="1:1">
      <c r="A694" s="15"/>
    </row>
    <row r="695" spans="1:1">
      <c r="A695" s="15"/>
    </row>
    <row r="696" spans="1:1">
      <c r="A696" s="15"/>
    </row>
    <row r="697" spans="1:1">
      <c r="A697" s="15"/>
    </row>
    <row r="698" spans="1:1">
      <c r="A698" s="15"/>
    </row>
    <row r="699" spans="1:1">
      <c r="A699" s="15"/>
    </row>
    <row r="700" spans="1:1">
      <c r="A700" s="15"/>
    </row>
    <row r="701" spans="1:1">
      <c r="A701" s="15"/>
    </row>
    <row r="702" spans="1:1">
      <c r="A702" s="15"/>
    </row>
    <row r="703" spans="1:1">
      <c r="A703" s="15"/>
    </row>
    <row r="704" spans="1:1">
      <c r="A704" s="15"/>
    </row>
    <row r="705" spans="1:1">
      <c r="A705" s="15"/>
    </row>
    <row r="706" spans="1:1">
      <c r="A706" s="15"/>
    </row>
    <row r="707" spans="1:1">
      <c r="A707" s="15"/>
    </row>
    <row r="708" spans="1:1">
      <c r="A708" s="15"/>
    </row>
    <row r="709" spans="1:1">
      <c r="A709" s="15"/>
    </row>
    <row r="710" spans="1:1">
      <c r="A710" s="15"/>
    </row>
    <row r="711" spans="1:1">
      <c r="A711" s="15"/>
    </row>
    <row r="712" spans="1:1">
      <c r="A712" s="15"/>
    </row>
    <row r="713" spans="1:1">
      <c r="A713" s="15"/>
    </row>
    <row r="714" spans="1:1">
      <c r="A714" s="15"/>
    </row>
    <row r="715" spans="1:1">
      <c r="A715" s="15"/>
    </row>
    <row r="716" spans="1:1">
      <c r="A716" s="15"/>
    </row>
    <row r="717" spans="1:1">
      <c r="A717" s="15"/>
    </row>
    <row r="718" spans="1:1">
      <c r="A718" s="15"/>
    </row>
    <row r="719" spans="1:1">
      <c r="A719" s="15"/>
    </row>
    <row r="720" spans="1:1">
      <c r="A720" s="15"/>
    </row>
    <row r="721" spans="1:1">
      <c r="A721" s="15"/>
    </row>
    <row r="722" spans="1:1">
      <c r="A722" s="15"/>
    </row>
    <row r="723" spans="1:1">
      <c r="A723" s="15"/>
    </row>
    <row r="724" spans="1:1">
      <c r="A724" s="15"/>
    </row>
    <row r="725" spans="1:1">
      <c r="A725" s="15"/>
    </row>
    <row r="726" spans="1:1">
      <c r="A726" s="15"/>
    </row>
    <row r="727" spans="1:1">
      <c r="A727" s="15"/>
    </row>
    <row r="728" spans="1:1">
      <c r="A728" s="15"/>
    </row>
    <row r="729" spans="1:1">
      <c r="A729" s="15"/>
    </row>
    <row r="730" spans="1:1">
      <c r="A730" s="15"/>
    </row>
    <row r="731" spans="1:1">
      <c r="A731" s="15"/>
    </row>
    <row r="732" spans="1:1">
      <c r="A732" s="15"/>
    </row>
    <row r="733" spans="1:1">
      <c r="A733" s="15"/>
    </row>
    <row r="734" spans="1:1">
      <c r="A734" s="15"/>
    </row>
    <row r="735" spans="1:1">
      <c r="A735" s="15"/>
    </row>
    <row r="736" spans="1:1">
      <c r="A736" s="15"/>
    </row>
    <row r="737" spans="1:1">
      <c r="A737" s="15"/>
    </row>
    <row r="738" spans="1:1">
      <c r="A738" s="15"/>
    </row>
    <row r="739" spans="1:1">
      <c r="A739" s="15"/>
    </row>
    <row r="740" spans="1:1">
      <c r="A740" s="15"/>
    </row>
    <row r="741" spans="1:1">
      <c r="A741" s="15"/>
    </row>
    <row r="742" spans="1:1">
      <c r="A742" s="15"/>
    </row>
    <row r="743" spans="1:1">
      <c r="A743" s="15"/>
    </row>
    <row r="744" spans="1:1">
      <c r="A744" s="15"/>
    </row>
    <row r="745" spans="1:1">
      <c r="A745" s="15"/>
    </row>
    <row r="746" spans="1:1">
      <c r="A746" s="15"/>
    </row>
    <row r="747" spans="1:1">
      <c r="A747" s="15"/>
    </row>
    <row r="748" spans="1:1">
      <c r="A748" s="15"/>
    </row>
    <row r="749" spans="1:1">
      <c r="A749" s="15"/>
    </row>
    <row r="750" spans="1:1">
      <c r="A750" s="15"/>
    </row>
    <row r="751" spans="1:1">
      <c r="A751" s="15"/>
    </row>
    <row r="752" spans="1:1">
      <c r="A752" s="15"/>
    </row>
    <row r="753" spans="1:1">
      <c r="A753" s="15"/>
    </row>
    <row r="754" spans="1:1">
      <c r="A754" s="15"/>
    </row>
    <row r="755" spans="1:1">
      <c r="A755" s="15"/>
    </row>
    <row r="756" spans="1:1">
      <c r="A756" s="15"/>
    </row>
    <row r="757" spans="1:1">
      <c r="A757" s="15"/>
    </row>
    <row r="758" spans="1:1">
      <c r="A758" s="15"/>
    </row>
    <row r="759" spans="1:1">
      <c r="A759" s="15"/>
    </row>
    <row r="760" spans="1:1">
      <c r="A760" s="15"/>
    </row>
    <row r="761" spans="1:1">
      <c r="A761" s="15"/>
    </row>
    <row r="762" spans="1:1">
      <c r="A762" s="15"/>
    </row>
    <row r="763" spans="1:1">
      <c r="A763" s="15"/>
    </row>
    <row r="764" spans="1:1">
      <c r="A764" s="15"/>
    </row>
    <row r="765" spans="1:1">
      <c r="A765" s="15"/>
    </row>
    <row r="766" spans="1:1">
      <c r="A766" s="15"/>
    </row>
    <row r="767" spans="1:1">
      <c r="A767" s="15"/>
    </row>
    <row r="768" spans="1:1">
      <c r="A768" s="15"/>
    </row>
    <row r="769" spans="1:1">
      <c r="A769" s="15"/>
    </row>
    <row r="770" spans="1:1">
      <c r="A770" s="15"/>
    </row>
    <row r="771" spans="1:1">
      <c r="A771" s="15"/>
    </row>
    <row r="772" spans="1:1">
      <c r="A772" s="15"/>
    </row>
    <row r="773" spans="1:1">
      <c r="A773" s="15"/>
    </row>
    <row r="774" spans="1:1">
      <c r="A774" s="15"/>
    </row>
    <row r="775" spans="1:1">
      <c r="A775" s="15"/>
    </row>
    <row r="776" spans="1:1">
      <c r="A776" s="15"/>
    </row>
    <row r="777" spans="1:1">
      <c r="A777" s="15"/>
    </row>
    <row r="778" spans="1:1">
      <c r="A778" s="15"/>
    </row>
    <row r="779" spans="1:1">
      <c r="A779" s="15"/>
    </row>
    <row r="780" spans="1:1">
      <c r="A780" s="15"/>
    </row>
    <row r="781" spans="1:1">
      <c r="A781" s="15"/>
    </row>
    <row r="782" spans="1:1">
      <c r="A782" s="15"/>
    </row>
    <row r="783" spans="1:1">
      <c r="A783" s="15"/>
    </row>
    <row r="784" spans="1:1">
      <c r="A784" s="15"/>
    </row>
    <row r="785" spans="1:1">
      <c r="A785" s="15"/>
    </row>
    <row r="786" spans="1:1">
      <c r="A786" s="15"/>
    </row>
    <row r="787" spans="1:1">
      <c r="A787" s="15"/>
    </row>
    <row r="788" spans="1:1">
      <c r="A788" s="15"/>
    </row>
    <row r="789" spans="1:1">
      <c r="A789" s="15"/>
    </row>
    <row r="790" spans="1:1">
      <c r="A790" s="15"/>
    </row>
    <row r="791" spans="1:1">
      <c r="A791" s="15"/>
    </row>
    <row r="792" spans="1:1">
      <c r="A792" s="15"/>
    </row>
    <row r="793" spans="1:1">
      <c r="A793" s="15"/>
    </row>
    <row r="794" spans="1:1">
      <c r="A794" s="15"/>
    </row>
    <row r="795" spans="1:1">
      <c r="A795" s="15"/>
    </row>
    <row r="796" spans="1:1">
      <c r="A796" s="15"/>
    </row>
    <row r="797" spans="1:1">
      <c r="A797" s="15"/>
    </row>
    <row r="798" spans="1:1">
      <c r="A798" s="15"/>
    </row>
    <row r="799" spans="1:1">
      <c r="A799" s="15"/>
    </row>
    <row r="800" spans="1:1">
      <c r="A800" s="15"/>
    </row>
    <row r="801" spans="1:1">
      <c r="A801" s="15"/>
    </row>
    <row r="802" spans="1:1">
      <c r="A802" s="15"/>
    </row>
    <row r="803" spans="1:1">
      <c r="A803" s="15"/>
    </row>
    <row r="804" spans="1:1">
      <c r="A804" s="15"/>
    </row>
    <row r="805" spans="1:1">
      <c r="A805" s="15"/>
    </row>
    <row r="806" spans="1:1">
      <c r="A806" s="15"/>
    </row>
    <row r="807" spans="1:1">
      <c r="A807" s="15"/>
    </row>
    <row r="808" spans="1:1">
      <c r="A808" s="15"/>
    </row>
    <row r="809" spans="1:1">
      <c r="A809" s="15"/>
    </row>
    <row r="810" spans="1:1">
      <c r="A810" s="15"/>
    </row>
    <row r="811" spans="1:1">
      <c r="A811" s="15"/>
    </row>
    <row r="812" spans="1:1">
      <c r="A812" s="15"/>
    </row>
    <row r="813" spans="1:1">
      <c r="A813" s="15"/>
    </row>
    <row r="814" spans="1:1">
      <c r="A814" s="15"/>
    </row>
    <row r="815" spans="1:1">
      <c r="A815" s="15"/>
    </row>
    <row r="816" spans="1:1">
      <c r="A816" s="15"/>
    </row>
    <row r="817" spans="1:1">
      <c r="A817" s="15"/>
    </row>
    <row r="818" spans="1:1">
      <c r="A818" s="15"/>
    </row>
    <row r="819" spans="1:1">
      <c r="A819" s="15"/>
    </row>
    <row r="820" spans="1:1">
      <c r="A820" s="15"/>
    </row>
    <row r="821" spans="1:1">
      <c r="A821" s="15"/>
    </row>
    <row r="822" spans="1:1">
      <c r="A822" s="15"/>
    </row>
    <row r="823" spans="1:1">
      <c r="A823" s="15"/>
    </row>
    <row r="824" spans="1:1">
      <c r="A824" s="15"/>
    </row>
    <row r="825" spans="1:1">
      <c r="A825" s="15"/>
    </row>
    <row r="826" spans="1:1">
      <c r="A826" s="15"/>
    </row>
    <row r="827" spans="1:1">
      <c r="A827" s="15"/>
    </row>
    <row r="828" spans="1:1">
      <c r="A828" s="15"/>
    </row>
    <row r="829" spans="1:1">
      <c r="A829" s="15"/>
    </row>
    <row r="830" spans="1:1">
      <c r="A830" s="15"/>
    </row>
    <row r="831" spans="1:1">
      <c r="A831" s="15"/>
    </row>
    <row r="832" spans="1:1">
      <c r="A832" s="15"/>
    </row>
    <row r="833" spans="1:1">
      <c r="A833" s="15"/>
    </row>
    <row r="834" spans="1:1">
      <c r="A834" s="15"/>
    </row>
    <row r="835" spans="1:1">
      <c r="A835" s="15"/>
    </row>
    <row r="836" spans="1:1">
      <c r="A836" s="15"/>
    </row>
    <row r="837" spans="1:1">
      <c r="A837" s="15"/>
    </row>
    <row r="838" spans="1:1">
      <c r="A838" s="15"/>
    </row>
    <row r="839" spans="1:1">
      <c r="A839" s="15"/>
    </row>
    <row r="840" spans="1:1">
      <c r="A840" s="15"/>
    </row>
    <row r="841" spans="1:1">
      <c r="A841" s="15"/>
    </row>
    <row r="842" spans="1:1">
      <c r="A842" s="15"/>
    </row>
    <row r="843" spans="1:1">
      <c r="A843" s="15"/>
    </row>
    <row r="844" spans="1:1">
      <c r="A844" s="15"/>
    </row>
    <row r="845" spans="1:1">
      <c r="A845" s="15"/>
    </row>
    <row r="846" spans="1:1">
      <c r="A846" s="15"/>
    </row>
    <row r="847" spans="1:1">
      <c r="A847" s="15"/>
    </row>
    <row r="848" spans="1:1">
      <c r="A848" s="15"/>
    </row>
    <row r="849" spans="1:1">
      <c r="A849" s="15"/>
    </row>
    <row r="850" spans="1:1">
      <c r="A850" s="15"/>
    </row>
    <row r="851" spans="1:1">
      <c r="A851" s="15"/>
    </row>
    <row r="852" spans="1:1">
      <c r="A852" s="15"/>
    </row>
    <row r="853" spans="1:1">
      <c r="A853" s="15"/>
    </row>
    <row r="854" spans="1:1">
      <c r="A854" s="15"/>
    </row>
    <row r="855" spans="1:1">
      <c r="A855" s="15"/>
    </row>
    <row r="856" spans="1:1">
      <c r="A856" s="15"/>
    </row>
    <row r="857" spans="1:1">
      <c r="A857" s="15"/>
    </row>
    <row r="858" spans="1:1">
      <c r="A858" s="15"/>
    </row>
    <row r="859" spans="1:1">
      <c r="A859" s="15"/>
    </row>
    <row r="860" spans="1:1">
      <c r="A860" s="15"/>
    </row>
    <row r="861" spans="1:1">
      <c r="A861" s="15"/>
    </row>
    <row r="862" spans="1:1">
      <c r="A862" s="15"/>
    </row>
    <row r="863" spans="1:1">
      <c r="A863" s="15"/>
    </row>
    <row r="864" spans="1:1">
      <c r="A864" s="15"/>
    </row>
    <row r="865" spans="1:1">
      <c r="A865" s="15"/>
    </row>
    <row r="866" spans="1:1">
      <c r="A866" s="15"/>
    </row>
    <row r="867" spans="1:1">
      <c r="A867" s="15"/>
    </row>
    <row r="868" spans="1:1">
      <c r="A868" s="15"/>
    </row>
    <row r="869" spans="1:1">
      <c r="A869" s="15"/>
    </row>
    <row r="870" spans="1:1">
      <c r="A870" s="15"/>
    </row>
    <row r="871" spans="1:1">
      <c r="A871" s="15"/>
    </row>
    <row r="872" spans="1:1">
      <c r="A872" s="15"/>
    </row>
    <row r="873" spans="1:1">
      <c r="A873" s="15"/>
    </row>
    <row r="874" spans="1:1">
      <c r="A874" s="15"/>
    </row>
    <row r="875" spans="1:1">
      <c r="A875" s="15"/>
    </row>
    <row r="876" spans="1:1">
      <c r="A876" s="15"/>
    </row>
    <row r="877" spans="1:1">
      <c r="A877" s="15"/>
    </row>
    <row r="878" spans="1:1">
      <c r="A878" s="15"/>
    </row>
    <row r="879" spans="1:1">
      <c r="A879" s="15"/>
    </row>
    <row r="880" spans="1:1">
      <c r="A880" s="15"/>
    </row>
    <row r="881" spans="1:1">
      <c r="A881" s="15"/>
    </row>
    <row r="882" spans="1:1">
      <c r="A882" s="15"/>
    </row>
    <row r="883" spans="1:1">
      <c r="A883" s="15"/>
    </row>
    <row r="884" spans="1:1">
      <c r="A884" s="15"/>
    </row>
    <row r="885" spans="1:1">
      <c r="A885" s="15"/>
    </row>
    <row r="886" spans="1:1">
      <c r="A886" s="15"/>
    </row>
    <row r="887" spans="1:1">
      <c r="A887" s="15"/>
    </row>
    <row r="888" spans="1:1">
      <c r="A888" s="15"/>
    </row>
    <row r="889" spans="1:1">
      <c r="A889" s="15"/>
    </row>
    <row r="890" spans="1:1">
      <c r="A890" s="15"/>
    </row>
    <row r="891" spans="1:1">
      <c r="A891" s="15"/>
    </row>
    <row r="892" spans="1:1">
      <c r="A892" s="15"/>
    </row>
    <row r="893" spans="1:1">
      <c r="A893" s="15"/>
    </row>
    <row r="894" spans="1:1">
      <c r="A894" s="15"/>
    </row>
    <row r="895" spans="1:1">
      <c r="A895" s="15"/>
    </row>
    <row r="896" spans="1:1">
      <c r="A896" s="15"/>
    </row>
    <row r="897" spans="1:1">
      <c r="A897" s="15"/>
    </row>
    <row r="898" spans="1:1">
      <c r="A898" s="15"/>
    </row>
    <row r="899" spans="1:1">
      <c r="A899" s="15"/>
    </row>
    <row r="900" spans="1:1">
      <c r="A900" s="15"/>
    </row>
    <row r="901" spans="1:1">
      <c r="A901" s="15"/>
    </row>
    <row r="902" spans="1:1">
      <c r="A902" s="15"/>
    </row>
    <row r="903" spans="1:1">
      <c r="A903" s="15"/>
    </row>
    <row r="904" spans="1:1">
      <c r="A904" s="15"/>
    </row>
    <row r="905" spans="1:1">
      <c r="A905" s="15"/>
    </row>
    <row r="906" spans="1:1">
      <c r="A906" s="15"/>
    </row>
    <row r="907" spans="1:1">
      <c r="A907" s="15"/>
    </row>
    <row r="908" spans="1:1">
      <c r="A908" s="15"/>
    </row>
    <row r="909" spans="1:1">
      <c r="A909" s="15"/>
    </row>
    <row r="910" spans="1:1">
      <c r="A910" s="15"/>
    </row>
    <row r="911" spans="1:1">
      <c r="A911" s="15"/>
    </row>
    <row r="912" spans="1:1">
      <c r="A912" s="15"/>
    </row>
    <row r="913" spans="1:1">
      <c r="A913" s="15"/>
    </row>
    <row r="914" spans="1:1">
      <c r="A914" s="15"/>
    </row>
    <row r="915" spans="1:1">
      <c r="A915" s="15"/>
    </row>
    <row r="916" spans="1:1">
      <c r="A916" s="15"/>
    </row>
    <row r="917" spans="1:1">
      <c r="A917" s="15"/>
    </row>
    <row r="918" spans="1:1">
      <c r="A918" s="15"/>
    </row>
    <row r="919" spans="1:1">
      <c r="A919" s="15"/>
    </row>
    <row r="920" spans="1:1">
      <c r="A920" s="15"/>
    </row>
    <row r="921" spans="1:1">
      <c r="A921" s="15"/>
    </row>
    <row r="922" spans="1:1">
      <c r="A922" s="15"/>
    </row>
    <row r="923" spans="1:1">
      <c r="A923" s="15"/>
    </row>
    <row r="924" spans="1:1">
      <c r="A924" s="15"/>
    </row>
    <row r="925" spans="1:1">
      <c r="A925" s="15"/>
    </row>
    <row r="926" spans="1:1">
      <c r="A926" s="15"/>
    </row>
    <row r="927" spans="1:1">
      <c r="A927" s="15"/>
    </row>
    <row r="928" spans="1:1">
      <c r="A928" s="15"/>
    </row>
    <row r="929" spans="1:1">
      <c r="A929" s="15"/>
    </row>
    <row r="930" spans="1:1">
      <c r="A930" s="15"/>
    </row>
    <row r="931" spans="1:1">
      <c r="A931" s="15"/>
    </row>
    <row r="932" spans="1:1">
      <c r="A932" s="15"/>
    </row>
    <row r="933" spans="1:1">
      <c r="A933" s="15"/>
    </row>
    <row r="934" spans="1:1">
      <c r="A934" s="15"/>
    </row>
    <row r="935" spans="1:1">
      <c r="A935" s="15"/>
    </row>
    <row r="936" spans="1:1">
      <c r="A936" s="15"/>
    </row>
    <row r="937" spans="1:1">
      <c r="A937" s="15"/>
    </row>
    <row r="938" spans="1:1">
      <c r="A938" s="15"/>
    </row>
    <row r="939" spans="1:1">
      <c r="A939" s="15"/>
    </row>
    <row r="940" spans="1:1">
      <c r="A940" s="15"/>
    </row>
    <row r="941" spans="1:1">
      <c r="A941" s="15"/>
    </row>
    <row r="942" spans="1:1">
      <c r="A942" s="15"/>
    </row>
    <row r="943" spans="1:1">
      <c r="A943" s="15"/>
    </row>
    <row r="944" spans="1:1">
      <c r="A944" s="15"/>
    </row>
    <row r="945" spans="1:1">
      <c r="A945" s="15"/>
    </row>
    <row r="946" spans="1:1">
      <c r="A946" s="15"/>
    </row>
    <row r="947" spans="1:1">
      <c r="A947" s="15"/>
    </row>
    <row r="948" spans="1:1">
      <c r="A948" s="15"/>
    </row>
    <row r="949" spans="1:1">
      <c r="A949" s="15"/>
    </row>
    <row r="950" spans="1:1">
      <c r="A950" s="15"/>
    </row>
    <row r="951" spans="1:1">
      <c r="A951" s="15"/>
    </row>
    <row r="952" spans="1:1">
      <c r="A952" s="15"/>
    </row>
    <row r="953" spans="1:1">
      <c r="A953" s="15"/>
    </row>
    <row r="954" spans="1:1">
      <c r="A954" s="15"/>
    </row>
    <row r="955" spans="1:1">
      <c r="A955" s="15"/>
    </row>
    <row r="956" spans="1:1">
      <c r="A956" s="15"/>
    </row>
    <row r="957" spans="1:1">
      <c r="A957" s="15"/>
    </row>
    <row r="958" spans="1:1">
      <c r="A958" s="15"/>
    </row>
    <row r="959" spans="1:1">
      <c r="A959" s="15"/>
    </row>
    <row r="960" spans="1:1">
      <c r="A960" s="15"/>
    </row>
    <row r="961" spans="1:1">
      <c r="A961" s="15"/>
    </row>
    <row r="962" spans="1:1">
      <c r="A962" s="15"/>
    </row>
    <row r="963" spans="1:1">
      <c r="A963" s="15"/>
    </row>
    <row r="964" spans="1:1">
      <c r="A964" s="15"/>
    </row>
    <row r="965" spans="1:1">
      <c r="A965" s="15"/>
    </row>
    <row r="966" spans="1:1">
      <c r="A966" s="15"/>
    </row>
    <row r="967" spans="1:1">
      <c r="A967" s="15"/>
    </row>
    <row r="968" spans="1:1">
      <c r="A968" s="15"/>
    </row>
    <row r="969" spans="1:1">
      <c r="A969" s="15"/>
    </row>
    <row r="970" spans="1:1">
      <c r="A970" s="15"/>
    </row>
    <row r="971" spans="1:1">
      <c r="A971" s="15"/>
    </row>
    <row r="972" spans="1:1">
      <c r="A972" s="15"/>
    </row>
    <row r="973" spans="1:1">
      <c r="A973" s="15"/>
    </row>
    <row r="974" spans="1:1">
      <c r="A974" s="15"/>
    </row>
    <row r="975" spans="1:1">
      <c r="A975" s="15"/>
    </row>
    <row r="976" spans="1:1">
      <c r="A976" s="15"/>
    </row>
    <row r="977" spans="1:1">
      <c r="A977" s="15"/>
    </row>
    <row r="978" spans="1:1">
      <c r="A978" s="15"/>
    </row>
    <row r="979" spans="1:1">
      <c r="A979" s="15"/>
    </row>
    <row r="980" spans="1:1">
      <c r="A980" s="15"/>
    </row>
    <row r="981" spans="1:1">
      <c r="A981" s="15"/>
    </row>
    <row r="982" spans="1:1">
      <c r="A982" s="15"/>
    </row>
    <row r="983" spans="1:1">
      <c r="A983" s="15"/>
    </row>
    <row r="984" spans="1:1">
      <c r="A984" s="15"/>
    </row>
    <row r="985" spans="1:1">
      <c r="A985" s="15"/>
    </row>
    <row r="986" spans="1:1">
      <c r="A986" s="15"/>
    </row>
    <row r="987" spans="1:1">
      <c r="A987" s="15"/>
    </row>
    <row r="988" spans="1:1">
      <c r="A988" s="15"/>
    </row>
    <row r="989" spans="1:1">
      <c r="A989" s="15"/>
    </row>
    <row r="990" spans="1:1">
      <c r="A990" s="15"/>
    </row>
    <row r="991" spans="1:1">
      <c r="A991" s="15"/>
    </row>
    <row r="992" spans="1:1">
      <c r="A992" s="15"/>
    </row>
    <row r="993" spans="1:1">
      <c r="A993" s="15"/>
    </row>
    <row r="994" spans="1:1">
      <c r="A994" s="15"/>
    </row>
    <row r="995" spans="1:1">
      <c r="A995" s="15"/>
    </row>
    <row r="996" spans="1:1">
      <c r="A996" s="15"/>
    </row>
    <row r="997" spans="1:1">
      <c r="A997" s="15"/>
    </row>
    <row r="998" spans="1:1">
      <c r="A998" s="15"/>
    </row>
    <row r="999" spans="1:1">
      <c r="A999" s="15"/>
    </row>
    <row r="1000" spans="1:1">
      <c r="A1000" s="15"/>
    </row>
    <row r="1001" spans="1:1">
      <c r="A1001" s="15"/>
    </row>
    <row r="1002" spans="1:1">
      <c r="A1002" s="15"/>
    </row>
    <row r="1003" spans="1:1">
      <c r="A1003" s="15"/>
    </row>
    <row r="1004" spans="1:1">
      <c r="A1004" s="15"/>
    </row>
    <row r="1005" spans="1:1">
      <c r="A1005" s="15"/>
    </row>
    <row r="1006" spans="1:1">
      <c r="A1006" s="15"/>
    </row>
    <row r="1007" spans="1:1">
      <c r="A1007" s="15"/>
    </row>
    <row r="1008" spans="1:1">
      <c r="A1008" s="15"/>
    </row>
    <row r="1009" spans="1:1">
      <c r="A1009" s="15"/>
    </row>
    <row r="1010" spans="1:1">
      <c r="A1010" s="15"/>
    </row>
    <row r="1011" spans="1:1">
      <c r="A1011" s="15"/>
    </row>
    <row r="1012" spans="1:1">
      <c r="A1012" s="15"/>
    </row>
    <row r="1013" spans="1:1">
      <c r="A1013" s="15"/>
    </row>
    <row r="1014" spans="1:1">
      <c r="A1014" s="15"/>
    </row>
    <row r="1015" spans="1:1">
      <c r="A1015" s="15"/>
    </row>
    <row r="1016" spans="1:1">
      <c r="A1016" s="15"/>
    </row>
    <row r="1017" spans="1:1">
      <c r="A1017" s="15"/>
    </row>
    <row r="1018" spans="1:1">
      <c r="A1018" s="15"/>
    </row>
    <row r="1019" spans="1:1">
      <c r="A1019" s="15"/>
    </row>
    <row r="1020" spans="1:1">
      <c r="A1020" s="15"/>
    </row>
    <row r="1021" spans="1:1">
      <c r="A1021" s="15"/>
    </row>
    <row r="1022" spans="1:1">
      <c r="A1022" s="15"/>
    </row>
    <row r="1023" spans="1:1">
      <c r="A1023" s="15"/>
    </row>
    <row r="1024" spans="1:1">
      <c r="A1024" s="15"/>
    </row>
    <row r="1025" spans="1:1">
      <c r="A1025" s="15"/>
    </row>
    <row r="1026" spans="1:1">
      <c r="A1026" s="15"/>
    </row>
    <row r="1027" spans="1:1">
      <c r="A1027" s="15"/>
    </row>
    <row r="1028" spans="1:1">
      <c r="A1028" s="15"/>
    </row>
    <row r="1029" spans="1:1">
      <c r="A1029" s="15"/>
    </row>
    <row r="1030" spans="1:1">
      <c r="A1030" s="15"/>
    </row>
    <row r="1031" spans="1:1">
      <c r="A1031" s="15"/>
    </row>
  </sheetData>
  <mergeCells count="16">
    <mergeCell ref="A1:A2"/>
    <mergeCell ref="A21:A22"/>
    <mergeCell ref="C21:C22"/>
    <mergeCell ref="E21:E22"/>
    <mergeCell ref="G21:G22"/>
    <mergeCell ref="I21:J22"/>
    <mergeCell ref="C30:C31"/>
    <mergeCell ref="B63:C63"/>
    <mergeCell ref="B64:C64"/>
    <mergeCell ref="A30:A31"/>
    <mergeCell ref="A54:A55"/>
    <mergeCell ref="B55:D55"/>
    <mergeCell ref="A57:A58"/>
    <mergeCell ref="B57:D57"/>
    <mergeCell ref="A63:A64"/>
    <mergeCell ref="D63:F6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pageSetUpPr fitToPage="1"/>
  </sheetPr>
  <dimension ref="A1:R37"/>
  <sheetViews>
    <sheetView workbookViewId="0">
      <selection activeCell="F16" sqref="F16"/>
    </sheetView>
  </sheetViews>
  <sheetFormatPr defaultColWidth="12.5703125" defaultRowHeight="15.75" customHeight="1"/>
  <cols>
    <col min="1" max="1" width="21.5703125" bestFit="1" customWidth="1"/>
    <col min="2" max="2" width="23.7109375" customWidth="1"/>
    <col min="3" max="3" width="7.7109375" customWidth="1"/>
    <col min="4" max="4" width="5.5703125" customWidth="1"/>
    <col min="5" max="5" width="1.85546875" customWidth="1"/>
    <col min="8" max="8" width="3" customWidth="1"/>
    <col min="9" max="9" width="29" customWidth="1"/>
    <col min="11" max="11" width="7.85546875" customWidth="1"/>
    <col min="12" max="12" width="8.85546875" customWidth="1"/>
    <col min="13" max="13" width="9.28515625" customWidth="1"/>
    <col min="14" max="14" width="6.42578125" customWidth="1"/>
    <col min="15" max="15" width="17.140625" customWidth="1"/>
  </cols>
  <sheetData>
    <row r="1" spans="1:18" ht="12.75">
      <c r="A1" s="215" t="s">
        <v>47</v>
      </c>
      <c r="B1" s="13" t="s">
        <v>48</v>
      </c>
      <c r="C1" s="1" t="s">
        <v>49</v>
      </c>
      <c r="D1" s="217" t="s">
        <v>187</v>
      </c>
      <c r="E1" s="207"/>
      <c r="F1" s="207"/>
    </row>
    <row r="2" spans="1:18" ht="12.75">
      <c r="A2" s="216"/>
      <c r="B2" s="14" t="s">
        <v>215</v>
      </c>
      <c r="C2" s="7"/>
      <c r="D2" s="207"/>
      <c r="E2" s="207"/>
      <c r="F2" s="207"/>
      <c r="G2" s="43"/>
      <c r="H2" s="43"/>
      <c r="K2" s="124" t="s">
        <v>187</v>
      </c>
      <c r="L2" s="125" t="s">
        <v>216</v>
      </c>
      <c r="M2" s="126" t="s">
        <v>217</v>
      </c>
      <c r="N2" s="127" t="s">
        <v>216</v>
      </c>
      <c r="P2" s="2"/>
    </row>
    <row r="3" spans="1:18" ht="12.75">
      <c r="I3" s="41" t="s">
        <v>218</v>
      </c>
      <c r="J3" s="41" t="s">
        <v>219</v>
      </c>
      <c r="K3" s="169">
        <v>17500</v>
      </c>
      <c r="L3" s="44" t="s">
        <v>220</v>
      </c>
      <c r="M3" s="45">
        <f>10*LOG10(K3)</f>
        <v>42.430380486862944</v>
      </c>
      <c r="N3" s="129" t="s">
        <v>221</v>
      </c>
      <c r="P3" s="8"/>
    </row>
    <row r="4" spans="1:18" ht="12.75">
      <c r="A4" s="232" t="s">
        <v>222</v>
      </c>
      <c r="B4" s="207"/>
      <c r="C4" s="207"/>
      <c r="D4" s="207"/>
      <c r="E4" s="207"/>
      <c r="F4" s="207"/>
      <c r="G4" s="207"/>
      <c r="I4" s="41" t="s">
        <v>223</v>
      </c>
      <c r="J4" s="41" t="s">
        <v>224</v>
      </c>
      <c r="K4" s="170">
        <v>3</v>
      </c>
      <c r="L4" s="46" t="s">
        <v>14</v>
      </c>
      <c r="M4" s="47"/>
      <c r="N4" s="131"/>
      <c r="P4" s="8"/>
    </row>
    <row r="5" spans="1:18" ht="15.75" customHeight="1">
      <c r="I5" s="41" t="s">
        <v>225</v>
      </c>
      <c r="J5" s="41" t="s">
        <v>226</v>
      </c>
      <c r="K5" s="132">
        <f>K3*(K4/100)</f>
        <v>525</v>
      </c>
      <c r="L5" s="46" t="s">
        <v>220</v>
      </c>
      <c r="M5" s="233">
        <f>IF(K6&lt;K5,10*LOG10(K5),10*LOG10(K6))</f>
        <v>27.20159303405957</v>
      </c>
      <c r="N5" s="235" t="s">
        <v>221</v>
      </c>
      <c r="O5" s="123"/>
    </row>
    <row r="6" spans="1:18" ht="15.75" customHeight="1">
      <c r="A6" s="227" t="s">
        <v>47</v>
      </c>
      <c r="B6" s="238" t="s">
        <v>414</v>
      </c>
      <c r="C6" s="239"/>
      <c r="D6" s="239"/>
      <c r="E6" s="239"/>
      <c r="F6" s="239"/>
      <c r="G6" s="237" t="s">
        <v>420</v>
      </c>
      <c r="H6" s="217" t="s">
        <v>46</v>
      </c>
      <c r="I6" s="41" t="s">
        <v>228</v>
      </c>
      <c r="J6" s="41" t="s">
        <v>229</v>
      </c>
      <c r="K6" s="170"/>
      <c r="L6" s="46" t="s">
        <v>220</v>
      </c>
      <c r="M6" s="234"/>
      <c r="N6" s="236"/>
    </row>
    <row r="7" spans="1:18" ht="12.75">
      <c r="A7" s="228"/>
      <c r="B7" s="240" t="s">
        <v>415</v>
      </c>
      <c r="C7" s="241"/>
      <c r="D7" s="241"/>
      <c r="E7" s="241"/>
      <c r="F7" s="241"/>
      <c r="G7" s="230"/>
      <c r="H7" s="207"/>
      <c r="I7" s="41" t="s">
        <v>230</v>
      </c>
      <c r="J7" s="41" t="s">
        <v>231</v>
      </c>
      <c r="K7" s="170">
        <v>3.25</v>
      </c>
      <c r="L7" s="46" t="s">
        <v>38</v>
      </c>
      <c r="M7" s="47"/>
      <c r="N7" s="131"/>
      <c r="P7" s="8"/>
    </row>
    <row r="8" spans="1:18" ht="15.75" customHeight="1">
      <c r="A8" s="221"/>
      <c r="B8" s="242" t="s">
        <v>419</v>
      </c>
      <c r="C8" s="243"/>
      <c r="D8" s="243"/>
      <c r="E8" s="243"/>
      <c r="F8" s="243"/>
      <c r="G8" s="212"/>
      <c r="H8" s="207"/>
      <c r="I8" s="41" t="s">
        <v>232</v>
      </c>
      <c r="J8" s="41" t="s">
        <v>233</v>
      </c>
      <c r="K8" s="170">
        <v>65</v>
      </c>
      <c r="L8" s="46" t="s">
        <v>209</v>
      </c>
      <c r="M8" s="47"/>
      <c r="N8" s="131"/>
      <c r="P8" s="8"/>
    </row>
    <row r="9" spans="1:18" ht="12.75">
      <c r="A9" s="17"/>
      <c r="B9" s="11"/>
      <c r="C9" s="8"/>
      <c r="D9" s="43"/>
      <c r="I9" s="41" t="s">
        <v>234</v>
      </c>
      <c r="J9" s="41" t="s">
        <v>235</v>
      </c>
      <c r="K9" s="170">
        <v>8</v>
      </c>
      <c r="L9" s="46" t="s">
        <v>236</v>
      </c>
      <c r="M9" s="47"/>
      <c r="N9" s="131"/>
      <c r="O9" s="185" t="s">
        <v>428</v>
      </c>
      <c r="P9" s="8"/>
      <c r="R9" s="8"/>
    </row>
    <row r="10" spans="1:18" ht="12.75">
      <c r="A10" s="227" t="s">
        <v>47</v>
      </c>
      <c r="B10" s="49">
        <f>$M$5+$M$10+$M$11+$M$13+$M$14+$M$16</f>
        <v>52.747464553149371</v>
      </c>
      <c r="C10" s="229" t="s">
        <v>227</v>
      </c>
      <c r="D10" s="217" t="s">
        <v>46</v>
      </c>
      <c r="I10" s="41" t="s">
        <v>237</v>
      </c>
      <c r="J10" s="41" t="s">
        <v>238</v>
      </c>
      <c r="K10" s="135"/>
      <c r="L10" s="48"/>
      <c r="M10" s="50">
        <v>34</v>
      </c>
      <c r="N10" s="136" t="s">
        <v>24</v>
      </c>
      <c r="O10" s="185" t="s">
        <v>427</v>
      </c>
      <c r="P10" s="8"/>
    </row>
    <row r="11" spans="1:18" ht="15.75" customHeight="1">
      <c r="A11" s="228"/>
      <c r="B11" s="51" t="s">
        <v>206</v>
      </c>
      <c r="C11" s="230"/>
      <c r="D11" s="207"/>
      <c r="I11" s="41" t="s">
        <v>239</v>
      </c>
      <c r="J11" s="41" t="s">
        <v>240</v>
      </c>
      <c r="K11" s="135"/>
      <c r="L11" s="48"/>
      <c r="M11" s="50">
        <v>34</v>
      </c>
      <c r="N11" s="136" t="s">
        <v>24</v>
      </c>
      <c r="P11" s="8"/>
    </row>
    <row r="12" spans="1:18" ht="12.75">
      <c r="A12" s="221"/>
      <c r="B12" s="52">
        <f>$M$22+$M$17+$M$19+$M$18+$M$20+$M$21</f>
        <v>-135.44972410034754</v>
      </c>
      <c r="C12" s="212"/>
      <c r="D12" s="207"/>
      <c r="I12" s="41" t="s">
        <v>241</v>
      </c>
      <c r="J12" s="146" t="s">
        <v>242</v>
      </c>
      <c r="K12" s="170">
        <v>9750</v>
      </c>
      <c r="L12" s="46" t="s">
        <v>4</v>
      </c>
      <c r="M12" s="54"/>
      <c r="N12" s="131"/>
      <c r="O12" s="185" t="s">
        <v>424</v>
      </c>
      <c r="P12" s="8"/>
    </row>
    <row r="13" spans="1:18" ht="12.75">
      <c r="C13" s="43"/>
      <c r="D13" s="43"/>
      <c r="I13" s="41" t="s">
        <v>243</v>
      </c>
      <c r="J13" s="146" t="s">
        <v>244</v>
      </c>
      <c r="K13" s="137">
        <f>(300/K12)^2</f>
        <v>9.4674556213017761E-4</v>
      </c>
      <c r="L13" s="46" t="s">
        <v>245</v>
      </c>
      <c r="M13" s="55">
        <f t="shared" ref="M13:M14" si="0">10*LOG10(K13)</f>
        <v>-30.237667219577489</v>
      </c>
      <c r="N13" s="136" t="s">
        <v>46</v>
      </c>
      <c r="P13" s="8"/>
    </row>
    <row r="14" spans="1:18" ht="12.75">
      <c r="A14" s="215" t="s">
        <v>47</v>
      </c>
      <c r="B14" s="231">
        <f>$B$10-$B$12</f>
        <v>188.19718865349691</v>
      </c>
      <c r="C14" s="229" t="s">
        <v>227</v>
      </c>
      <c r="D14" s="217" t="s">
        <v>46</v>
      </c>
      <c r="I14" s="41" t="s">
        <v>246</v>
      </c>
      <c r="J14" s="41" t="s">
        <v>247</v>
      </c>
      <c r="K14" s="170">
        <v>10</v>
      </c>
      <c r="L14" s="46" t="s">
        <v>248</v>
      </c>
      <c r="M14" s="55">
        <f t="shared" si="0"/>
        <v>10</v>
      </c>
      <c r="N14" s="136" t="s">
        <v>46</v>
      </c>
      <c r="P14" s="8"/>
    </row>
    <row r="15" spans="1:18" ht="12.75">
      <c r="A15" s="216"/>
      <c r="B15" s="216"/>
      <c r="C15" s="212"/>
      <c r="D15" s="207"/>
      <c r="I15" s="41" t="s">
        <v>249</v>
      </c>
      <c r="J15" s="41" t="s">
        <v>250</v>
      </c>
      <c r="K15" s="138">
        <f>K7/K8</f>
        <v>0.05</v>
      </c>
      <c r="L15" s="46" t="s">
        <v>210</v>
      </c>
      <c r="M15" s="47">
        <f>10*LOG10(K15/K9)</f>
        <v>-22.041199826559247</v>
      </c>
      <c r="N15" s="131"/>
      <c r="P15" s="8"/>
    </row>
    <row r="16" spans="1:18" ht="12.75">
      <c r="I16" s="41" t="s">
        <v>251</v>
      </c>
      <c r="J16" s="41" t="s">
        <v>252</v>
      </c>
      <c r="K16" s="138">
        <f>(K15/K9)-K24</f>
        <v>6.0028E-3</v>
      </c>
      <c r="L16" s="46" t="s">
        <v>210</v>
      </c>
      <c r="M16" s="55">
        <f>10*LOG10(K16)</f>
        <v>-22.216461261332711</v>
      </c>
      <c r="N16" s="136" t="s">
        <v>46</v>
      </c>
      <c r="P16" s="8"/>
      <c r="Q16" s="8"/>
    </row>
    <row r="17" spans="1:18" ht="12.75">
      <c r="A17" s="215" t="s">
        <v>47</v>
      </c>
      <c r="B17" s="220">
        <f>$B$14*(1/4)</f>
        <v>47.049297163374227</v>
      </c>
      <c r="C17" s="222" t="s">
        <v>46</v>
      </c>
      <c r="I17" s="41" t="s">
        <v>253</v>
      </c>
      <c r="J17" s="41" t="s">
        <v>254</v>
      </c>
      <c r="K17" s="135"/>
      <c r="L17" s="48"/>
      <c r="M17" s="50">
        <v>11.8</v>
      </c>
      <c r="N17" s="136" t="s">
        <v>46</v>
      </c>
      <c r="O17" s="184" t="s">
        <v>423</v>
      </c>
    </row>
    <row r="18" spans="1:18" ht="15.75" customHeight="1">
      <c r="A18" s="216"/>
      <c r="B18" s="221"/>
      <c r="C18" s="207"/>
      <c r="I18" s="41" t="s">
        <v>255</v>
      </c>
      <c r="J18" s="41" t="s">
        <v>256</v>
      </c>
      <c r="K18" s="139"/>
      <c r="L18" s="46" t="s">
        <v>257</v>
      </c>
      <c r="M18" s="57">
        <v>-228.6</v>
      </c>
      <c r="N18" s="136" t="s">
        <v>46</v>
      </c>
      <c r="Q18" s="168"/>
    </row>
    <row r="19" spans="1:18" ht="15.75" customHeight="1">
      <c r="C19" s="58"/>
      <c r="I19" s="41" t="s">
        <v>258</v>
      </c>
      <c r="J19" s="41" t="s">
        <v>259</v>
      </c>
      <c r="K19" s="170">
        <v>290</v>
      </c>
      <c r="L19" s="46" t="s">
        <v>260</v>
      </c>
      <c r="M19" s="59">
        <f>10*LOG10(K19)</f>
        <v>24.62397997898956</v>
      </c>
      <c r="N19" s="136" t="s">
        <v>46</v>
      </c>
      <c r="O19" s="185" t="s">
        <v>425</v>
      </c>
      <c r="P19" s="8"/>
      <c r="Q19" s="168"/>
      <c r="R19" s="8"/>
    </row>
    <row r="20" spans="1:18" ht="15.75" customHeight="1">
      <c r="A20" s="215" t="s">
        <v>47</v>
      </c>
      <c r="B20" s="223">
        <f>10^($B$17/10)</f>
        <v>50690.866652151766</v>
      </c>
      <c r="C20" s="222" t="s">
        <v>194</v>
      </c>
      <c r="I20" s="41" t="s">
        <v>261</v>
      </c>
      <c r="J20" s="41" t="s">
        <v>262</v>
      </c>
      <c r="K20" s="135"/>
      <c r="L20" s="46" t="s">
        <v>263</v>
      </c>
      <c r="M20" s="50">
        <v>3.25</v>
      </c>
      <c r="N20" s="136" t="s">
        <v>46</v>
      </c>
      <c r="P20" s="8"/>
      <c r="Q20" s="168"/>
    </row>
    <row r="21" spans="1:18" ht="12.75">
      <c r="A21" s="216"/>
      <c r="B21" s="221"/>
      <c r="C21" s="207"/>
      <c r="F21" s="5"/>
      <c r="I21" s="41" t="s">
        <v>264</v>
      </c>
      <c r="J21" s="41" t="s">
        <v>265</v>
      </c>
      <c r="K21" s="135"/>
      <c r="L21" s="46" t="s">
        <v>263</v>
      </c>
      <c r="M21" s="50">
        <v>20.5</v>
      </c>
      <c r="N21" s="136" t="s">
        <v>46</v>
      </c>
      <c r="O21" s="185" t="s">
        <v>426</v>
      </c>
      <c r="P21" s="8"/>
    </row>
    <row r="22" spans="1:18" ht="12.75">
      <c r="C22" s="5"/>
      <c r="F22" s="5"/>
      <c r="I22" s="41" t="s">
        <v>266</v>
      </c>
      <c r="J22" s="41" t="s">
        <v>267</v>
      </c>
      <c r="K22" s="141">
        <f>(4*PI())^3</f>
        <v>1984.4017075391882</v>
      </c>
      <c r="L22" s="46" t="s">
        <v>268</v>
      </c>
      <c r="M22" s="57">
        <f>10*LOG10(K22)</f>
        <v>32.976295920662885</v>
      </c>
      <c r="N22" s="136" t="s">
        <v>46</v>
      </c>
    </row>
    <row r="23" spans="1:18" ht="12.75">
      <c r="A23" s="215" t="s">
        <v>47</v>
      </c>
      <c r="B23" s="224">
        <f>B20/1000</f>
        <v>50.690866652151769</v>
      </c>
      <c r="C23" s="225" t="s">
        <v>418</v>
      </c>
      <c r="D23" s="226"/>
      <c r="E23" s="226"/>
      <c r="F23" s="226"/>
      <c r="I23" s="122" t="s">
        <v>269</v>
      </c>
      <c r="J23" s="41" t="s">
        <v>270</v>
      </c>
      <c r="K23" s="171"/>
      <c r="L23" s="60" t="s">
        <v>214</v>
      </c>
      <c r="M23" s="55">
        <f>ROUND((10^(((($M$5+$M$10+$M$11+$M$13+7+$M$15)-($M$22+$M$17+$M$19+$M$18+$M$20+$M$21))*(1/4))/10))/1852,-1)</f>
        <v>20</v>
      </c>
      <c r="N23" s="172" t="s">
        <v>214</v>
      </c>
      <c r="O23" s="61" t="s">
        <v>271</v>
      </c>
      <c r="P23" s="8"/>
    </row>
    <row r="24" spans="1:18" ht="15.75" customHeight="1">
      <c r="A24" s="216"/>
      <c r="B24" s="221"/>
      <c r="C24" s="226"/>
      <c r="D24" s="226"/>
      <c r="E24" s="226"/>
      <c r="F24" s="226"/>
      <c r="I24" s="118" t="s">
        <v>213</v>
      </c>
      <c r="J24" s="41" t="s">
        <v>272</v>
      </c>
      <c r="K24" s="173">
        <f>IF($K$23=0,$M$23*0.00001236,$K$23*0.00001236)</f>
        <v>2.4719999999999999E-4</v>
      </c>
      <c r="L24" s="143" t="s">
        <v>273</v>
      </c>
      <c r="M24" s="174"/>
      <c r="N24" s="175"/>
      <c r="O24" s="62"/>
      <c r="P24" s="8"/>
    </row>
    <row r="25" spans="1:18" ht="12.75">
      <c r="C25" s="5"/>
      <c r="D25" s="5"/>
      <c r="E25" s="5"/>
      <c r="I25" s="118"/>
      <c r="J25" s="41"/>
      <c r="K25" s="8"/>
      <c r="L25" s="5"/>
      <c r="M25" s="8"/>
      <c r="N25" s="5"/>
    </row>
    <row r="26" spans="1:18" ht="12.75">
      <c r="A26" s="215" t="s">
        <v>47</v>
      </c>
      <c r="B26" s="224">
        <f>$B$23/1.852</f>
        <v>27.370878321896203</v>
      </c>
      <c r="C26" s="225" t="s">
        <v>214</v>
      </c>
      <c r="D26" s="226"/>
      <c r="E26" s="226"/>
      <c r="F26" s="226"/>
      <c r="I26" s="118"/>
      <c r="J26" s="41"/>
      <c r="K26" s="8"/>
      <c r="L26" s="8"/>
      <c r="M26" s="8"/>
      <c r="N26" s="5"/>
    </row>
    <row r="27" spans="1:18" ht="15.75" customHeight="1">
      <c r="A27" s="216"/>
      <c r="B27" s="221"/>
      <c r="C27" s="226"/>
      <c r="D27" s="226"/>
      <c r="E27" s="226"/>
      <c r="F27" s="226"/>
      <c r="I27" s="118"/>
      <c r="J27" s="15"/>
      <c r="K27" s="8"/>
      <c r="L27" s="8"/>
      <c r="M27" s="8"/>
      <c r="N27" s="5"/>
    </row>
    <row r="28" spans="1:18" ht="12.75">
      <c r="I28" s="118"/>
    </row>
    <row r="29" spans="1:18" ht="12.75">
      <c r="I29" s="118"/>
    </row>
    <row r="30" spans="1:18" ht="12.75">
      <c r="I30" s="118"/>
    </row>
    <row r="31" spans="1:18" ht="12.75">
      <c r="A31" s="17"/>
      <c r="B31" s="11"/>
      <c r="C31" s="8"/>
      <c r="I31" s="118"/>
    </row>
    <row r="32" spans="1:18" ht="12.75" customHeight="1">
      <c r="A32" s="17"/>
      <c r="B32" s="11"/>
      <c r="I32" s="63" t="s">
        <v>274</v>
      </c>
      <c r="J32" s="219" t="s">
        <v>429</v>
      </c>
      <c r="K32" s="219"/>
      <c r="L32" s="219"/>
    </row>
    <row r="33" spans="9:12" ht="12.75">
      <c r="I33" s="64" t="s">
        <v>275</v>
      </c>
      <c r="J33" s="219"/>
      <c r="K33" s="219"/>
      <c r="L33" s="219"/>
    </row>
    <row r="34" spans="9:12" ht="12.75">
      <c r="I34" s="65" t="s">
        <v>276</v>
      </c>
      <c r="J34" s="219"/>
      <c r="K34" s="219"/>
      <c r="L34" s="219"/>
    </row>
    <row r="35" spans="9:12" ht="15.75" customHeight="1">
      <c r="J35" s="186"/>
      <c r="K35" s="186"/>
      <c r="L35" s="186"/>
    </row>
    <row r="36" spans="9:12" ht="15.75" customHeight="1">
      <c r="J36" s="186"/>
      <c r="K36" s="186"/>
      <c r="L36" s="186"/>
    </row>
    <row r="37" spans="9:12" ht="15.75" customHeight="1">
      <c r="J37" s="186"/>
      <c r="K37" s="186"/>
      <c r="L37" s="186"/>
    </row>
  </sheetData>
  <mergeCells count="31">
    <mergeCell ref="A1:A2"/>
    <mergeCell ref="D1:F2"/>
    <mergeCell ref="A4:G4"/>
    <mergeCell ref="M5:M6"/>
    <mergeCell ref="N5:N6"/>
    <mergeCell ref="G6:G8"/>
    <mergeCell ref="H6:H8"/>
    <mergeCell ref="A6:A8"/>
    <mergeCell ref="B6:F6"/>
    <mergeCell ref="B7:F7"/>
    <mergeCell ref="B8:F8"/>
    <mergeCell ref="A10:A12"/>
    <mergeCell ref="C10:C12"/>
    <mergeCell ref="D10:D12"/>
    <mergeCell ref="A14:A15"/>
    <mergeCell ref="B14:B15"/>
    <mergeCell ref="C14:C15"/>
    <mergeCell ref="D14:D15"/>
    <mergeCell ref="J32:L34"/>
    <mergeCell ref="A17:A18"/>
    <mergeCell ref="B17:B18"/>
    <mergeCell ref="C17:C18"/>
    <mergeCell ref="B20:B21"/>
    <mergeCell ref="C20:C21"/>
    <mergeCell ref="A20:A21"/>
    <mergeCell ref="A23:A24"/>
    <mergeCell ref="B23:B24"/>
    <mergeCell ref="C23:F24"/>
    <mergeCell ref="A26:A27"/>
    <mergeCell ref="B26:B27"/>
    <mergeCell ref="C26:F27"/>
  </mergeCells>
  <printOptions horizontalCentered="1"/>
  <pageMargins left="0.7" right="0.7" top="0.75" bottom="0.75" header="0" footer="0"/>
  <pageSetup fitToHeight="0" pageOrder="overThenDown"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pageSetUpPr fitToPage="1"/>
  </sheetPr>
  <dimension ref="A1:Q368"/>
  <sheetViews>
    <sheetView workbookViewId="0">
      <selection activeCell="G21" sqref="G21"/>
    </sheetView>
  </sheetViews>
  <sheetFormatPr defaultColWidth="12.5703125" defaultRowHeight="15.75" customHeight="1"/>
  <cols>
    <col min="1" max="1" width="18.85546875" customWidth="1"/>
    <col min="2" max="2" width="25.28515625" customWidth="1"/>
    <col min="3" max="3" width="7.140625" customWidth="1"/>
    <col min="4" max="4" width="5.5703125" customWidth="1"/>
    <col min="5" max="5" width="13.140625" customWidth="1"/>
    <col min="6" max="6" width="14.28515625" customWidth="1"/>
    <col min="7" max="7" width="13" customWidth="1"/>
    <col min="8" max="8" width="5.85546875" customWidth="1"/>
    <col min="9" max="9" width="32.28515625" customWidth="1"/>
    <col min="11" max="11" width="12.42578125" bestFit="1" customWidth="1"/>
    <col min="12" max="12" width="8.5703125" customWidth="1"/>
    <col min="13" max="13" width="6.5703125" bestFit="1" customWidth="1"/>
    <col min="14" max="14" width="6" customWidth="1"/>
  </cols>
  <sheetData>
    <row r="1" spans="1:16" ht="15.75" customHeight="1">
      <c r="A1" s="248" t="s">
        <v>439</v>
      </c>
      <c r="B1" s="248"/>
      <c r="C1" s="248"/>
      <c r="D1" s="248"/>
      <c r="E1" s="248"/>
      <c r="F1" s="248"/>
      <c r="G1" s="248"/>
      <c r="H1" s="248"/>
      <c r="I1" s="248"/>
      <c r="J1" s="248"/>
      <c r="K1" s="248"/>
      <c r="L1" s="248"/>
      <c r="M1" s="248"/>
      <c r="N1" s="248"/>
    </row>
    <row r="2" spans="1:16" ht="19.5" customHeight="1">
      <c r="A2" s="246" t="s">
        <v>440</v>
      </c>
      <c r="B2" s="247"/>
      <c r="C2" s="247"/>
      <c r="D2" s="247"/>
      <c r="E2" s="247"/>
      <c r="F2" s="247"/>
      <c r="G2" s="247"/>
      <c r="H2" s="247"/>
      <c r="I2" s="247"/>
      <c r="J2" s="247"/>
      <c r="K2" s="247"/>
      <c r="L2" s="247"/>
      <c r="M2" s="247"/>
      <c r="N2" s="247"/>
    </row>
    <row r="3" spans="1:16" ht="12.75">
      <c r="A3" s="17"/>
      <c r="B3" s="11"/>
      <c r="C3" s="11"/>
      <c r="D3" s="20"/>
      <c r="E3" s="255" t="s">
        <v>277</v>
      </c>
      <c r="F3" s="256"/>
      <c r="G3" s="269" t="s">
        <v>413</v>
      </c>
      <c r="H3" s="270"/>
      <c r="I3" s="41" t="s">
        <v>279</v>
      </c>
      <c r="J3" s="203">
        <v>52000</v>
      </c>
      <c r="K3" s="115" t="s">
        <v>245</v>
      </c>
      <c r="L3" s="204">
        <f>J3/1852</f>
        <v>28.077753779697623</v>
      </c>
      <c r="M3" s="115" t="s">
        <v>214</v>
      </c>
      <c r="N3" s="8"/>
    </row>
    <row r="4" spans="1:16" ht="12.75">
      <c r="A4" s="271" t="s">
        <v>69</v>
      </c>
      <c r="B4" s="273" t="s">
        <v>48</v>
      </c>
      <c r="C4" s="210"/>
      <c r="D4" s="217" t="s">
        <v>187</v>
      </c>
      <c r="E4" s="207"/>
      <c r="F4" s="207"/>
      <c r="I4" s="41" t="s">
        <v>280</v>
      </c>
      <c r="J4" s="203">
        <v>12</v>
      </c>
      <c r="K4" s="115" t="s">
        <v>281</v>
      </c>
    </row>
    <row r="5" spans="1:16" ht="12.75">
      <c r="A5" s="272"/>
      <c r="B5" s="274" t="s">
        <v>188</v>
      </c>
      <c r="C5" s="212"/>
      <c r="D5" s="207"/>
      <c r="E5" s="207"/>
      <c r="F5" s="207"/>
      <c r="G5" s="43"/>
      <c r="H5" s="43"/>
      <c r="K5" s="124" t="s">
        <v>187</v>
      </c>
      <c r="L5" s="125" t="s">
        <v>216</v>
      </c>
      <c r="M5" s="126" t="s">
        <v>217</v>
      </c>
      <c r="N5" s="127" t="s">
        <v>216</v>
      </c>
      <c r="P5" s="2"/>
    </row>
    <row r="6" spans="1:16" ht="12.75">
      <c r="I6" s="41" t="s">
        <v>218</v>
      </c>
      <c r="J6" s="41" t="s">
        <v>219</v>
      </c>
      <c r="K6" s="128">
        <v>17500</v>
      </c>
      <c r="L6" s="44" t="s">
        <v>220</v>
      </c>
      <c r="M6" s="45">
        <f>10*LOG10(K6)</f>
        <v>42.430380486862944</v>
      </c>
      <c r="N6" s="129" t="s">
        <v>221</v>
      </c>
    </row>
    <row r="7" spans="1:16" ht="12.75">
      <c r="A7" s="275" t="s">
        <v>222</v>
      </c>
      <c r="B7" s="207"/>
      <c r="C7" s="207"/>
      <c r="D7" s="207"/>
      <c r="E7" s="207"/>
      <c r="F7" s="207"/>
      <c r="G7" s="207"/>
      <c r="I7" s="41" t="s">
        <v>223</v>
      </c>
      <c r="J7" s="41" t="s">
        <v>224</v>
      </c>
      <c r="K7" s="130">
        <v>3</v>
      </c>
      <c r="L7" s="46" t="s">
        <v>14</v>
      </c>
      <c r="M7" s="47"/>
      <c r="N7" s="131"/>
    </row>
    <row r="8" spans="1:16" ht="15.75" customHeight="1">
      <c r="I8" s="41" t="s">
        <v>225</v>
      </c>
      <c r="J8" s="41" t="s">
        <v>226</v>
      </c>
      <c r="K8" s="132">
        <f>K6*(K7/100)</f>
        <v>525</v>
      </c>
      <c r="L8" s="46" t="s">
        <v>220</v>
      </c>
      <c r="M8" s="233">
        <f>IF(K9&lt;K8,10*LOG10(K8),10*LOG10(K9))</f>
        <v>27.20159303405957</v>
      </c>
      <c r="N8" s="235" t="s">
        <v>221</v>
      </c>
      <c r="O8" s="123"/>
    </row>
    <row r="9" spans="1:16" ht="15.75" customHeight="1">
      <c r="A9" s="279" t="s">
        <v>69</v>
      </c>
      <c r="B9" s="238" t="s">
        <v>414</v>
      </c>
      <c r="C9" s="239"/>
      <c r="D9" s="239"/>
      <c r="E9" s="239"/>
      <c r="F9" s="239"/>
      <c r="G9" s="276" t="s">
        <v>444</v>
      </c>
      <c r="H9" s="217"/>
      <c r="I9" s="41" t="s">
        <v>228</v>
      </c>
      <c r="J9" s="41" t="s">
        <v>229</v>
      </c>
      <c r="K9" s="133"/>
      <c r="L9" s="46" t="s">
        <v>220</v>
      </c>
      <c r="M9" s="234"/>
      <c r="N9" s="236"/>
    </row>
    <row r="10" spans="1:16" ht="15.75" customHeight="1">
      <c r="A10" s="280"/>
      <c r="B10" s="240" t="s">
        <v>415</v>
      </c>
      <c r="C10" s="241"/>
      <c r="D10" s="241"/>
      <c r="E10" s="241"/>
      <c r="F10" s="241"/>
      <c r="G10" s="277"/>
      <c r="H10" s="207"/>
      <c r="I10" s="41" t="s">
        <v>230</v>
      </c>
      <c r="J10" s="41" t="s">
        <v>231</v>
      </c>
      <c r="K10" s="134">
        <v>3.25</v>
      </c>
      <c r="L10" s="46" t="s">
        <v>38</v>
      </c>
      <c r="M10" s="47"/>
      <c r="N10" s="131"/>
    </row>
    <row r="11" spans="1:16" ht="15.75" customHeight="1">
      <c r="A11" s="281"/>
      <c r="B11" s="242" t="s">
        <v>416</v>
      </c>
      <c r="C11" s="243"/>
      <c r="D11" s="243"/>
      <c r="E11" s="243"/>
      <c r="F11" s="243"/>
      <c r="G11" s="278"/>
      <c r="H11" s="207"/>
      <c r="I11" s="41" t="s">
        <v>232</v>
      </c>
      <c r="J11" s="41" t="s">
        <v>233</v>
      </c>
      <c r="K11" s="130">
        <v>65</v>
      </c>
      <c r="L11" s="46" t="s">
        <v>209</v>
      </c>
      <c r="M11" s="47"/>
      <c r="N11" s="131"/>
    </row>
    <row r="12" spans="1:16" ht="12.75">
      <c r="A12" s="17"/>
      <c r="B12" s="11"/>
      <c r="C12" s="8"/>
      <c r="D12" s="43"/>
      <c r="I12" s="41" t="s">
        <v>234</v>
      </c>
      <c r="J12" s="41" t="s">
        <v>235</v>
      </c>
      <c r="K12" s="132">
        <f>IF(G3="STT",1,IF(G3="VS",2,IF(G3="HPRF RWS/TWS",3,IF(G3="RGH-PRF RWS/TWS",6,IF(G3="MPRF RWS/TWS",8,0)))))</f>
        <v>8</v>
      </c>
      <c r="L12" s="46" t="s">
        <v>236</v>
      </c>
      <c r="M12" s="47"/>
      <c r="N12" s="131"/>
    </row>
    <row r="13" spans="1:16" ht="12.75">
      <c r="A13" s="227" t="s">
        <v>69</v>
      </c>
      <c r="B13" s="66">
        <f>$M$8+$M$13+$M$14+$M$16+$M$17+$M$19</f>
        <v>53.714538448399082</v>
      </c>
      <c r="C13" s="217" t="s">
        <v>46</v>
      </c>
      <c r="D13" s="20"/>
      <c r="I13" s="41" t="s">
        <v>237</v>
      </c>
      <c r="J13" s="41" t="s">
        <v>238</v>
      </c>
      <c r="K13" s="135"/>
      <c r="L13" s="48"/>
      <c r="M13" s="67">
        <v>34</v>
      </c>
      <c r="N13" s="136" t="s">
        <v>24</v>
      </c>
    </row>
    <row r="14" spans="1:16" ht="15.75" customHeight="1">
      <c r="A14" s="228"/>
      <c r="B14" s="68" t="s">
        <v>206</v>
      </c>
      <c r="C14" s="207"/>
      <c r="D14" s="20"/>
      <c r="I14" s="41" t="s">
        <v>239</v>
      </c>
      <c r="J14" s="41" t="s">
        <v>240</v>
      </c>
      <c r="K14" s="135"/>
      <c r="L14" s="48"/>
      <c r="M14" s="67">
        <v>34</v>
      </c>
      <c r="N14" s="136" t="s">
        <v>24</v>
      </c>
    </row>
    <row r="15" spans="1:16" ht="12.75">
      <c r="A15" s="221"/>
      <c r="B15" s="69">
        <f>$M$24+$M$25+$M$21+$M$20+$M$22+$M$23</f>
        <v>41.390409645044429</v>
      </c>
      <c r="C15" s="207"/>
      <c r="D15" s="20"/>
      <c r="I15" s="41" t="s">
        <v>241</v>
      </c>
      <c r="J15" s="53" t="s">
        <v>242</v>
      </c>
      <c r="K15" s="134">
        <v>9750</v>
      </c>
      <c r="L15" s="46" t="s">
        <v>4</v>
      </c>
      <c r="M15" s="54"/>
      <c r="N15" s="131"/>
    </row>
    <row r="16" spans="1:16" ht="12.75">
      <c r="C16" s="43"/>
      <c r="D16" s="43"/>
      <c r="I16" s="41" t="s">
        <v>243</v>
      </c>
      <c r="J16" s="53" t="s">
        <v>244</v>
      </c>
      <c r="K16" s="137">
        <f>(300/K15)^2</f>
        <v>9.4674556213017761E-4</v>
      </c>
      <c r="L16" s="46" t="s">
        <v>245</v>
      </c>
      <c r="M16" s="55">
        <f t="shared" ref="M16:M17" si="0">10*LOG10(K16)</f>
        <v>-30.237667219577489</v>
      </c>
      <c r="N16" s="136" t="s">
        <v>46</v>
      </c>
    </row>
    <row r="17" spans="1:17" ht="12.75">
      <c r="A17" s="215" t="s">
        <v>69</v>
      </c>
      <c r="B17" s="220">
        <f>$B$13-$B$15</f>
        <v>12.324128803354654</v>
      </c>
      <c r="C17" s="217" t="s">
        <v>46</v>
      </c>
      <c r="D17" s="20"/>
      <c r="I17" s="41" t="s">
        <v>246</v>
      </c>
      <c r="J17" s="41" t="s">
        <v>247</v>
      </c>
      <c r="K17" s="132">
        <f>J4</f>
        <v>12</v>
      </c>
      <c r="L17" s="46" t="s">
        <v>248</v>
      </c>
      <c r="M17" s="55">
        <f t="shared" si="0"/>
        <v>10.791812460476249</v>
      </c>
      <c r="N17" s="136" t="s">
        <v>46</v>
      </c>
    </row>
    <row r="18" spans="1:17" ht="12.75">
      <c r="A18" s="216"/>
      <c r="B18" s="221"/>
      <c r="C18" s="207"/>
      <c r="D18" s="20"/>
      <c r="I18" s="41" t="s">
        <v>249</v>
      </c>
      <c r="J18" s="41" t="s">
        <v>250</v>
      </c>
      <c r="K18" s="138">
        <f>K10/K11</f>
        <v>0.05</v>
      </c>
      <c r="L18" s="46" t="s">
        <v>210</v>
      </c>
      <c r="M18" s="47"/>
      <c r="N18" s="131"/>
    </row>
    <row r="19" spans="1:17" ht="12.75">
      <c r="I19" s="41" t="s">
        <v>251</v>
      </c>
      <c r="J19" s="41" t="s">
        <v>252</v>
      </c>
      <c r="K19" s="138">
        <f>(K18/K12)</f>
        <v>6.2500000000000003E-3</v>
      </c>
      <c r="L19" s="46" t="s">
        <v>210</v>
      </c>
      <c r="M19" s="55">
        <f>10*LOG10(K19)</f>
        <v>-22.041199826559247</v>
      </c>
      <c r="N19" s="136" t="s">
        <v>46</v>
      </c>
      <c r="Q19" s="8"/>
    </row>
    <row r="20" spans="1:17" ht="15.75" customHeight="1">
      <c r="A20" s="17"/>
      <c r="B20" s="70"/>
      <c r="C20" s="56"/>
      <c r="I20" s="41" t="s">
        <v>255</v>
      </c>
      <c r="J20" s="41" t="s">
        <v>256</v>
      </c>
      <c r="K20" s="139"/>
      <c r="L20" s="46" t="s">
        <v>257</v>
      </c>
      <c r="M20" s="57">
        <v>-228.6</v>
      </c>
      <c r="N20" s="136" t="s">
        <v>46</v>
      </c>
      <c r="Q20" s="168"/>
    </row>
    <row r="21" spans="1:17" ht="15.75" customHeight="1">
      <c r="A21" s="265" t="s">
        <v>282</v>
      </c>
      <c r="B21" s="220">
        <f>VLOOKUP(B17, A37:A106, 1, TRUE)</f>
        <v>12.15</v>
      </c>
      <c r="C21" s="217" t="s">
        <v>46</v>
      </c>
      <c r="I21" s="41" t="s">
        <v>258</v>
      </c>
      <c r="J21" s="41" t="s">
        <v>259</v>
      </c>
      <c r="K21" s="140">
        <v>290</v>
      </c>
      <c r="L21" s="46" t="s">
        <v>260</v>
      </c>
      <c r="M21" s="71">
        <f>10*LOG10(K21)</f>
        <v>24.62397997898956</v>
      </c>
      <c r="N21" s="136" t="s">
        <v>46</v>
      </c>
      <c r="Q21" s="168"/>
    </row>
    <row r="22" spans="1:17" ht="15.75" customHeight="1">
      <c r="A22" s="216"/>
      <c r="B22" s="221"/>
      <c r="C22" s="207"/>
      <c r="I22" s="41" t="s">
        <v>261</v>
      </c>
      <c r="J22" s="41" t="s">
        <v>262</v>
      </c>
      <c r="K22" s="135"/>
      <c r="L22" s="46" t="s">
        <v>263</v>
      </c>
      <c r="M22" s="67">
        <v>3.25</v>
      </c>
      <c r="N22" s="136" t="s">
        <v>46</v>
      </c>
      <c r="Q22" s="168"/>
    </row>
    <row r="23" spans="1:17" ht="12.75">
      <c r="A23" s="17"/>
      <c r="B23" s="72"/>
      <c r="C23" s="56"/>
      <c r="F23" s="5"/>
      <c r="I23" s="41" t="s">
        <v>264</v>
      </c>
      <c r="J23" s="41" t="s">
        <v>265</v>
      </c>
      <c r="K23" s="135"/>
      <c r="L23" s="46" t="s">
        <v>263</v>
      </c>
      <c r="M23" s="73">
        <v>20.5</v>
      </c>
      <c r="N23" s="136" t="s">
        <v>46</v>
      </c>
    </row>
    <row r="24" spans="1:17" ht="12.75">
      <c r="A24" s="268" t="s">
        <v>417</v>
      </c>
      <c r="B24" s="268"/>
      <c r="C24" s="5"/>
      <c r="F24" s="5"/>
      <c r="I24" s="41" t="s">
        <v>266</v>
      </c>
      <c r="J24" s="41" t="s">
        <v>267</v>
      </c>
      <c r="K24" s="141">
        <f>(4*PI())^3</f>
        <v>1984.4017075391882</v>
      </c>
      <c r="L24" s="46" t="s">
        <v>268</v>
      </c>
      <c r="M24" s="57">
        <f t="shared" ref="M24:M25" si="1">10*LOG10(K24)</f>
        <v>32.976295920662885</v>
      </c>
      <c r="N24" s="136" t="s">
        <v>46</v>
      </c>
    </row>
    <row r="25" spans="1:17" ht="12.75">
      <c r="A25" s="268"/>
      <c r="B25" s="268"/>
      <c r="C25" s="116"/>
      <c r="D25" s="117"/>
      <c r="E25" s="117"/>
      <c r="F25" s="117"/>
      <c r="G25" s="117"/>
      <c r="I25" s="122"/>
      <c r="J25" s="41" t="s">
        <v>284</v>
      </c>
      <c r="K25" s="142">
        <f>J3^4</f>
        <v>7.311616E+18</v>
      </c>
      <c r="L25" s="143" t="s">
        <v>194</v>
      </c>
      <c r="M25" s="144">
        <f t="shared" si="1"/>
        <v>188.64013374539198</v>
      </c>
      <c r="N25" s="145" t="s">
        <v>46</v>
      </c>
      <c r="O25" s="61"/>
    </row>
    <row r="26" spans="1:17" ht="15.75" customHeight="1">
      <c r="C26" s="117"/>
      <c r="D26" s="117"/>
      <c r="E26" s="117"/>
      <c r="F26" s="117"/>
      <c r="G26" s="117"/>
      <c r="I26" s="118"/>
      <c r="J26" s="41"/>
      <c r="K26" s="119"/>
      <c r="L26" s="120"/>
      <c r="M26" s="121"/>
      <c r="N26" s="5"/>
      <c r="O26" s="62"/>
    </row>
    <row r="27" spans="1:17" ht="12.75" customHeight="1">
      <c r="A27" s="215" t="s">
        <v>283</v>
      </c>
      <c r="B27" s="266">
        <f>INDEX(A36:I106,MATCH(B21,A36:A106,0),MATCH(G3,A36:I36,0))</f>
        <v>0.68355994921874985</v>
      </c>
      <c r="C27" s="244" t="s">
        <v>441</v>
      </c>
      <c r="D27" s="251">
        <f>$L$3</f>
        <v>28.077753779697623</v>
      </c>
      <c r="E27" s="253" t="s">
        <v>442</v>
      </c>
      <c r="F27" s="249">
        <f>$J$4</f>
        <v>12</v>
      </c>
      <c r="G27" s="253" t="s">
        <v>443</v>
      </c>
      <c r="H27" s="253"/>
      <c r="I27" s="63" t="s">
        <v>285</v>
      </c>
      <c r="J27" s="257" t="s">
        <v>445</v>
      </c>
      <c r="K27" s="257"/>
      <c r="L27" s="257"/>
      <c r="N27" s="5"/>
    </row>
    <row r="28" spans="1:17" ht="12.75" customHeight="1">
      <c r="A28" s="216"/>
      <c r="B28" s="267"/>
      <c r="C28" s="245"/>
      <c r="D28" s="252"/>
      <c r="E28" s="254"/>
      <c r="F28" s="250"/>
      <c r="G28" s="254"/>
      <c r="H28" s="254"/>
      <c r="I28" s="64" t="s">
        <v>275</v>
      </c>
      <c r="J28" s="257"/>
      <c r="K28" s="257"/>
      <c r="L28" s="257"/>
    </row>
    <row r="29" spans="1:17" ht="12.75" customHeight="1">
      <c r="I29" s="65" t="s">
        <v>276</v>
      </c>
      <c r="J29" s="257"/>
      <c r="K29" s="257"/>
      <c r="L29" s="257"/>
    </row>
    <row r="30" spans="1:17" ht="12.75" customHeight="1">
      <c r="I30" s="74" t="s">
        <v>286</v>
      </c>
      <c r="J30" s="257"/>
      <c r="K30" s="257"/>
      <c r="L30" s="257"/>
    </row>
    <row r="31" spans="1:17" ht="12.75" customHeight="1">
      <c r="I31" s="75" t="s">
        <v>287</v>
      </c>
      <c r="J31" s="257"/>
      <c r="K31" s="257"/>
      <c r="L31" s="257"/>
    </row>
    <row r="32" spans="1:17" ht="12.75" customHeight="1">
      <c r="I32" s="76" t="s">
        <v>288</v>
      </c>
      <c r="J32" s="257"/>
      <c r="K32" s="257"/>
      <c r="L32" s="257"/>
    </row>
    <row r="33" spans="1:9" ht="12.75"/>
    <row r="34" spans="1:9" ht="12.75">
      <c r="A34" s="260" t="s">
        <v>289</v>
      </c>
      <c r="B34" s="261"/>
      <c r="C34" s="261"/>
      <c r="D34" s="261"/>
      <c r="E34" s="261"/>
      <c r="F34" s="261"/>
      <c r="G34" s="261"/>
      <c r="H34" s="261"/>
      <c r="I34" s="262"/>
    </row>
    <row r="35" spans="1:9" ht="12.75">
      <c r="A35" s="263" t="s">
        <v>290</v>
      </c>
      <c r="B35" s="259"/>
      <c r="C35" s="259"/>
      <c r="D35" s="259"/>
      <c r="E35" s="259"/>
      <c r="F35" s="259"/>
      <c r="G35" s="259"/>
      <c r="H35" s="259"/>
      <c r="I35" s="210"/>
    </row>
    <row r="36" spans="1:9" ht="12.75">
      <c r="A36" s="77" t="s">
        <v>291</v>
      </c>
      <c r="B36" s="78" t="s">
        <v>278</v>
      </c>
      <c r="C36" s="264" t="s">
        <v>292</v>
      </c>
      <c r="D36" s="259"/>
      <c r="E36" s="210"/>
      <c r="F36" s="77" t="s">
        <v>293</v>
      </c>
      <c r="G36" s="264" t="s">
        <v>294</v>
      </c>
      <c r="H36" s="210"/>
      <c r="I36" s="77" t="s">
        <v>295</v>
      </c>
    </row>
    <row r="37" spans="1:9" ht="12.75">
      <c r="A37" s="79">
        <v>1.5</v>
      </c>
      <c r="B37" s="80">
        <v>0</v>
      </c>
      <c r="C37" s="258">
        <f t="shared" ref="C37:C106" si="2">1-_xlfn.BINOM.DIST(0,2,B37,TRUE)</f>
        <v>0</v>
      </c>
      <c r="D37" s="259"/>
      <c r="E37" s="210"/>
      <c r="F37" s="81">
        <f t="shared" ref="F37:F106" si="3">1-_xlfn.BINOM.DIST(2,3,B37,TRUE)</f>
        <v>0</v>
      </c>
      <c r="G37" s="258">
        <f t="shared" ref="G37:G106" si="4">1-_xlfn.BINOM.DIST(2,((1-($K$7/100))*6),B37,TRUE)</f>
        <v>0</v>
      </c>
      <c r="H37" s="210"/>
      <c r="I37" s="81">
        <f t="shared" ref="I37:I106" si="5">1-_xlfn.BINOM.DIST(2,((1-($K$7/100))*8),B37,TRUE)</f>
        <v>0</v>
      </c>
    </row>
    <row r="38" spans="1:9" ht="12.75">
      <c r="A38" s="79">
        <v>3.2</v>
      </c>
      <c r="B38" s="80">
        <v>0.01</v>
      </c>
      <c r="C38" s="258">
        <f t="shared" si="2"/>
        <v>1.9900000000000029E-2</v>
      </c>
      <c r="D38" s="259"/>
      <c r="E38" s="210"/>
      <c r="F38" s="81">
        <f t="shared" si="3"/>
        <v>9.9999999991773336E-7</v>
      </c>
      <c r="G38" s="258">
        <f t="shared" si="4"/>
        <v>9.8506000000275762E-6</v>
      </c>
      <c r="H38" s="210"/>
      <c r="I38" s="81">
        <f>1-_xlfn.BINOM.DIST(2,((1-($K$7/100))*8),B38,TRUE)</f>
        <v>3.3962530149977965E-5</v>
      </c>
    </row>
    <row r="39" spans="1:9" ht="12.75">
      <c r="A39" s="79">
        <v>3.8</v>
      </c>
      <c r="B39" s="80">
        <v>1.2500000000000001E-2</v>
      </c>
      <c r="C39" s="258">
        <f t="shared" si="2"/>
        <v>2.4843750000000053E-2</v>
      </c>
      <c r="D39" s="259"/>
      <c r="E39" s="210"/>
      <c r="F39" s="81">
        <f t="shared" si="3"/>
        <v>1.9531249999538147E-6</v>
      </c>
      <c r="G39" s="258">
        <f t="shared" si="4"/>
        <v>1.9166870117159895E-5</v>
      </c>
      <c r="H39" s="210"/>
      <c r="I39" s="81">
        <f t="shared" si="5"/>
        <v>6.5834084272409221E-5</v>
      </c>
    </row>
    <row r="40" spans="1:9" ht="12.75">
      <c r="A40" s="79">
        <v>4.3499999999999996</v>
      </c>
      <c r="B40" s="80">
        <v>2.5000000000000001E-2</v>
      </c>
      <c r="C40" s="258">
        <f t="shared" si="2"/>
        <v>4.9374999999999947E-2</v>
      </c>
      <c r="D40" s="259"/>
      <c r="E40" s="210"/>
      <c r="F40" s="81">
        <f t="shared" si="3"/>
        <v>1.5625000000074607E-5</v>
      </c>
      <c r="G40" s="258">
        <f t="shared" si="4"/>
        <v>1.5044921875007056E-4</v>
      </c>
      <c r="H40" s="210"/>
      <c r="I40" s="81">
        <f t="shared" si="5"/>
        <v>5.0707284545903342E-4</v>
      </c>
    </row>
    <row r="41" spans="1:9" ht="12.75">
      <c r="A41" s="79">
        <v>4.95</v>
      </c>
      <c r="B41" s="80">
        <f>((B42-B40)/2)+B40</f>
        <v>3.7500000000000006E-2</v>
      </c>
      <c r="C41" s="258">
        <f t="shared" si="2"/>
        <v>7.3593750000000013E-2</v>
      </c>
      <c r="D41" s="259"/>
      <c r="E41" s="210"/>
      <c r="F41" s="81">
        <f t="shared" si="3"/>
        <v>5.2734374999974243E-5</v>
      </c>
      <c r="G41" s="258">
        <f t="shared" si="4"/>
        <v>4.98125610351563E-4</v>
      </c>
      <c r="H41" s="210"/>
      <c r="I41" s="81">
        <f t="shared" si="5"/>
        <v>1.6472122957706947E-3</v>
      </c>
    </row>
    <row r="42" spans="1:9" ht="12.75">
      <c r="A42" s="79">
        <v>5.5</v>
      </c>
      <c r="B42" s="80">
        <v>0.05</v>
      </c>
      <c r="C42" s="258">
        <f t="shared" si="2"/>
        <v>9.7500000000000031E-2</v>
      </c>
      <c r="D42" s="259"/>
      <c r="E42" s="210"/>
      <c r="F42" s="81">
        <f t="shared" si="3"/>
        <v>1.2499999999993072E-4</v>
      </c>
      <c r="G42" s="258">
        <f t="shared" si="4"/>
        <v>1.1581250000000098E-3</v>
      </c>
      <c r="H42" s="210"/>
      <c r="I42" s="81">
        <f t="shared" si="5"/>
        <v>3.7570429687500129E-3</v>
      </c>
    </row>
    <row r="43" spans="1:9" ht="12.75">
      <c r="A43" s="79">
        <v>6.25</v>
      </c>
      <c r="B43" s="80">
        <v>7.4999999999999997E-2</v>
      </c>
      <c r="C43" s="258">
        <f t="shared" si="2"/>
        <v>0.14437500000000003</v>
      </c>
      <c r="D43" s="259"/>
      <c r="E43" s="210"/>
      <c r="F43" s="81">
        <f t="shared" si="3"/>
        <v>4.2187500000001599E-4</v>
      </c>
      <c r="G43" s="258">
        <f t="shared" si="4"/>
        <v>3.7583789062499706E-3</v>
      </c>
      <c r="H43" s="210"/>
      <c r="I43" s="81">
        <f t="shared" si="5"/>
        <v>1.1730105010986369E-2</v>
      </c>
    </row>
    <row r="44" spans="1:9" ht="12.75">
      <c r="A44" s="79">
        <v>6.625</v>
      </c>
      <c r="B44" s="80">
        <f>((B45-B43)/2)+B43</f>
        <v>8.7499999999999994E-2</v>
      </c>
      <c r="C44" s="258">
        <f t="shared" si="2"/>
        <v>0.16734375000000001</v>
      </c>
      <c r="D44" s="259"/>
      <c r="E44" s="210"/>
      <c r="F44" s="81">
        <f t="shared" si="3"/>
        <v>6.6992187499992362E-4</v>
      </c>
      <c r="G44" s="258">
        <f t="shared" si="4"/>
        <v>5.8507208251953324E-3</v>
      </c>
      <c r="H44" s="210"/>
      <c r="I44" s="81">
        <f t="shared" si="5"/>
        <v>1.7907797028779981E-2</v>
      </c>
    </row>
    <row r="45" spans="1:9" ht="12.75">
      <c r="A45" s="79">
        <v>7</v>
      </c>
      <c r="B45" s="80">
        <v>0.1</v>
      </c>
      <c r="C45" s="258">
        <f t="shared" si="2"/>
        <v>0.19000000000000006</v>
      </c>
      <c r="D45" s="259"/>
      <c r="E45" s="210"/>
      <c r="F45" s="81">
        <f t="shared" si="3"/>
        <v>1.0000000000000009E-3</v>
      </c>
      <c r="G45" s="258">
        <f t="shared" si="4"/>
        <v>8.560000000000012E-3</v>
      </c>
      <c r="H45" s="210"/>
      <c r="I45" s="81">
        <f t="shared" si="5"/>
        <v>2.5691499999999978E-2</v>
      </c>
    </row>
    <row r="46" spans="1:9" ht="12.75">
      <c r="A46" s="79">
        <v>7.5</v>
      </c>
      <c r="B46" s="80">
        <v>0.125</v>
      </c>
      <c r="C46" s="258">
        <f t="shared" si="2"/>
        <v>0.234375</v>
      </c>
      <c r="D46" s="259"/>
      <c r="E46" s="210"/>
      <c r="F46" s="81">
        <f t="shared" si="3"/>
        <v>1.953125E-3</v>
      </c>
      <c r="G46" s="258">
        <f t="shared" si="4"/>
        <v>1.605224609375E-2</v>
      </c>
      <c r="H46" s="210"/>
      <c r="I46" s="81">
        <f t="shared" si="5"/>
        <v>4.6309947967529297E-2</v>
      </c>
    </row>
    <row r="47" spans="1:9" ht="12.75">
      <c r="A47" s="79">
        <v>7.9</v>
      </c>
      <c r="B47" s="80">
        <v>0.15</v>
      </c>
      <c r="C47" s="258">
        <f t="shared" si="2"/>
        <v>0.27749999999999997</v>
      </c>
      <c r="D47" s="259"/>
      <c r="E47" s="210"/>
      <c r="F47" s="81">
        <f t="shared" si="3"/>
        <v>3.3750000000000169E-3</v>
      </c>
      <c r="G47" s="258">
        <f t="shared" si="4"/>
        <v>2.6611874999999952E-2</v>
      </c>
      <c r="H47" s="210"/>
      <c r="I47" s="81">
        <f t="shared" si="5"/>
        <v>7.376516015625012E-2</v>
      </c>
    </row>
    <row r="48" spans="1:9" ht="12.75">
      <c r="A48" s="79">
        <v>8.4</v>
      </c>
      <c r="B48" s="80">
        <v>0.17499999999999999</v>
      </c>
      <c r="C48" s="258">
        <f t="shared" si="2"/>
        <v>0.31937499999999996</v>
      </c>
      <c r="D48" s="259"/>
      <c r="E48" s="210"/>
      <c r="F48" s="81">
        <f t="shared" si="3"/>
        <v>5.3593750000000551E-3</v>
      </c>
      <c r="G48" s="258">
        <f t="shared" si="4"/>
        <v>4.0510175781250046E-2</v>
      </c>
      <c r="H48" s="210"/>
      <c r="I48" s="81">
        <f t="shared" si="5"/>
        <v>0.10784489224243166</v>
      </c>
    </row>
    <row r="49" spans="1:9" ht="12.75">
      <c r="A49" s="79">
        <v>8.8000000000000007</v>
      </c>
      <c r="B49" s="80">
        <v>0.2</v>
      </c>
      <c r="C49" s="258">
        <f t="shared" si="2"/>
        <v>0.36</v>
      </c>
      <c r="D49" s="259"/>
      <c r="E49" s="210"/>
      <c r="F49" s="81">
        <f t="shared" si="3"/>
        <v>8.0000000000000071E-3</v>
      </c>
      <c r="G49" s="258">
        <f t="shared" si="4"/>
        <v>5.7919999999999972E-2</v>
      </c>
      <c r="H49" s="210"/>
      <c r="I49" s="81">
        <f t="shared" si="5"/>
        <v>0.14803200000000005</v>
      </c>
    </row>
    <row r="50" spans="1:9" ht="12.75">
      <c r="A50" s="79">
        <v>9.1</v>
      </c>
      <c r="B50" s="80">
        <v>0.22500000000000001</v>
      </c>
      <c r="C50" s="258">
        <f t="shared" si="2"/>
        <v>0.39937499999999992</v>
      </c>
      <c r="D50" s="259"/>
      <c r="E50" s="210"/>
      <c r="F50" s="81">
        <f t="shared" si="3"/>
        <v>1.1390624999999988E-2</v>
      </c>
      <c r="G50" s="258">
        <f t="shared" si="4"/>
        <v>7.8922792968749933E-2</v>
      </c>
      <c r="H50" s="210"/>
      <c r="I50" s="81">
        <f t="shared" si="5"/>
        <v>0.19358195883178719</v>
      </c>
    </row>
    <row r="51" spans="1:9" ht="12.75">
      <c r="A51" s="79">
        <v>9.4</v>
      </c>
      <c r="B51" s="80">
        <v>0.25</v>
      </c>
      <c r="C51" s="258">
        <f t="shared" si="2"/>
        <v>0.4375</v>
      </c>
      <c r="D51" s="259"/>
      <c r="E51" s="210"/>
      <c r="F51" s="81">
        <f t="shared" si="3"/>
        <v>1.5625E-2</v>
      </c>
      <c r="G51" s="258">
        <f t="shared" si="4"/>
        <v>0.103515625</v>
      </c>
      <c r="H51" s="210"/>
      <c r="I51" s="81">
        <f t="shared" si="5"/>
        <v>0.24359130859375</v>
      </c>
    </row>
    <row r="52" spans="1:9" ht="12.75">
      <c r="A52" s="79">
        <v>9.6999999999999993</v>
      </c>
      <c r="B52" s="80">
        <v>0.27500000000000002</v>
      </c>
      <c r="C52" s="258">
        <f t="shared" si="2"/>
        <v>0.4743750000000001</v>
      </c>
      <c r="D52" s="259"/>
      <c r="E52" s="210"/>
      <c r="F52" s="81">
        <f t="shared" si="3"/>
        <v>2.0796875000000048E-2</v>
      </c>
      <c r="G52" s="258">
        <f t="shared" si="4"/>
        <v>0.13161822265625012</v>
      </c>
      <c r="H52" s="210"/>
      <c r="I52" s="81">
        <f t="shared" si="5"/>
        <v>0.2970574851379395</v>
      </c>
    </row>
    <row r="53" spans="1:9" ht="12.75">
      <c r="A53" s="79">
        <v>9.875</v>
      </c>
      <c r="B53" s="80">
        <v>0.28749999999999998</v>
      </c>
      <c r="C53" s="258">
        <f t="shared" si="2"/>
        <v>0.49234374999999997</v>
      </c>
      <c r="D53" s="259"/>
      <c r="E53" s="210"/>
      <c r="F53" s="81">
        <f t="shared" si="3"/>
        <v>2.3763671875000059E-2</v>
      </c>
      <c r="G53" s="258">
        <f t="shared" si="4"/>
        <v>0.14694117980957033</v>
      </c>
      <c r="H53" s="210"/>
      <c r="I53" s="81">
        <f t="shared" si="5"/>
        <v>0.32475936119580262</v>
      </c>
    </row>
    <row r="54" spans="1:9" ht="12.75">
      <c r="A54" s="79">
        <v>10.050000000000001</v>
      </c>
      <c r="B54" s="80">
        <v>0.3</v>
      </c>
      <c r="C54" s="258">
        <f t="shared" si="2"/>
        <v>0.51</v>
      </c>
      <c r="D54" s="259"/>
      <c r="E54" s="210"/>
      <c r="F54" s="81">
        <f t="shared" si="3"/>
        <v>2.6999999999999913E-2</v>
      </c>
      <c r="G54" s="258">
        <f t="shared" si="4"/>
        <v>0.16308</v>
      </c>
      <c r="H54" s="210"/>
      <c r="I54" s="81">
        <f t="shared" si="5"/>
        <v>0.35293050000000004</v>
      </c>
    </row>
    <row r="55" spans="1:9" ht="12.75">
      <c r="A55" s="79">
        <v>10.375</v>
      </c>
      <c r="B55" s="80">
        <v>0.32500000000000001</v>
      </c>
      <c r="C55" s="258">
        <f t="shared" si="2"/>
        <v>0.54437500000000005</v>
      </c>
      <c r="D55" s="259"/>
      <c r="E55" s="210"/>
      <c r="F55" s="81">
        <f t="shared" si="3"/>
        <v>3.4328125000000043E-2</v>
      </c>
      <c r="G55" s="258">
        <f t="shared" si="4"/>
        <v>0.19768708984374994</v>
      </c>
      <c r="H55" s="210"/>
      <c r="I55" s="81">
        <f t="shared" si="5"/>
        <v>0.41015692965698236</v>
      </c>
    </row>
    <row r="56" spans="1:9" ht="12.75">
      <c r="A56" s="79">
        <v>10.75</v>
      </c>
      <c r="B56" s="80">
        <v>0.35</v>
      </c>
      <c r="C56" s="258">
        <f t="shared" si="2"/>
        <v>0.57750000000000001</v>
      </c>
      <c r="D56" s="259"/>
      <c r="E56" s="210"/>
      <c r="F56" s="81">
        <f t="shared" si="3"/>
        <v>4.2874999999999996E-2</v>
      </c>
      <c r="G56" s="258">
        <f t="shared" si="4"/>
        <v>0.2351693749999999</v>
      </c>
      <c r="H56" s="210"/>
      <c r="I56" s="81">
        <f t="shared" si="5"/>
        <v>0.46771667578124987</v>
      </c>
    </row>
    <row r="57" spans="1:9" ht="12.75">
      <c r="A57" s="79">
        <v>10.94</v>
      </c>
      <c r="B57" s="80">
        <v>0.36249999999999999</v>
      </c>
      <c r="C57" s="258">
        <f t="shared" si="2"/>
        <v>0.59359375000000003</v>
      </c>
      <c r="D57" s="259"/>
      <c r="E57" s="210"/>
      <c r="F57" s="81">
        <f t="shared" si="3"/>
        <v>4.763476562500002E-2</v>
      </c>
      <c r="G57" s="258">
        <f t="shared" si="4"/>
        <v>0.25489065368652342</v>
      </c>
      <c r="H57" s="210"/>
      <c r="I57" s="81">
        <f t="shared" si="5"/>
        <v>0.49631938651251795</v>
      </c>
    </row>
    <row r="58" spans="1:9" ht="12.75">
      <c r="A58" s="79">
        <v>11.125</v>
      </c>
      <c r="B58" s="80">
        <v>0.375</v>
      </c>
      <c r="C58" s="258">
        <f t="shared" si="2"/>
        <v>0.609375</v>
      </c>
      <c r="D58" s="259"/>
      <c r="E58" s="210"/>
      <c r="F58" s="81">
        <f t="shared" si="3"/>
        <v>5.2734375E-2</v>
      </c>
      <c r="G58" s="258">
        <f t="shared" si="4"/>
        <v>0.27520751953125</v>
      </c>
      <c r="H58" s="210"/>
      <c r="I58" s="81">
        <f t="shared" si="5"/>
        <v>0.52465295791625988</v>
      </c>
    </row>
    <row r="59" spans="1:9" ht="12.75">
      <c r="A59" s="79">
        <v>11.315</v>
      </c>
      <c r="B59" s="80">
        <v>0.38750000000000001</v>
      </c>
      <c r="C59" s="258">
        <f t="shared" si="2"/>
        <v>0.62484374999999992</v>
      </c>
      <c r="D59" s="259"/>
      <c r="E59" s="210"/>
      <c r="F59" s="81">
        <f t="shared" si="3"/>
        <v>5.8185546874999994E-2</v>
      </c>
      <c r="G59" s="258">
        <f t="shared" si="4"/>
        <v>0.2960735186767578</v>
      </c>
      <c r="H59" s="210"/>
      <c r="I59" s="81">
        <f t="shared" si="5"/>
        <v>0.55261157057118404</v>
      </c>
    </row>
    <row r="60" spans="1:9" ht="12.75">
      <c r="A60" s="79">
        <v>11.5</v>
      </c>
      <c r="B60" s="80">
        <v>0.4</v>
      </c>
      <c r="C60" s="258">
        <f t="shared" si="2"/>
        <v>0.64</v>
      </c>
      <c r="D60" s="259"/>
      <c r="E60" s="210"/>
      <c r="F60" s="81">
        <f t="shared" si="3"/>
        <v>6.4000000000000057E-2</v>
      </c>
      <c r="G60" s="258">
        <f t="shared" si="4"/>
        <v>0.31744000000000006</v>
      </c>
      <c r="H60" s="210"/>
      <c r="I60" s="81">
        <f t="shared" si="5"/>
        <v>0.58009600000000017</v>
      </c>
    </row>
    <row r="61" spans="1:9" ht="12.75">
      <c r="A61" s="79">
        <v>11.824999999999999</v>
      </c>
      <c r="B61" s="80">
        <v>0.42499999999999999</v>
      </c>
      <c r="C61" s="258">
        <f t="shared" si="2"/>
        <v>0.66937500000000005</v>
      </c>
      <c r="D61" s="259"/>
      <c r="E61" s="210"/>
      <c r="F61" s="81">
        <f t="shared" si="3"/>
        <v>7.6765624999999948E-2</v>
      </c>
      <c r="G61" s="258">
        <f t="shared" si="4"/>
        <v>0.36147013671875006</v>
      </c>
      <c r="H61" s="210"/>
      <c r="I61" s="81">
        <f t="shared" si="5"/>
        <v>0.63328087216186535</v>
      </c>
    </row>
    <row r="62" spans="1:9" ht="12.75">
      <c r="A62" s="79">
        <v>11.99</v>
      </c>
      <c r="B62" s="80">
        <v>0.4375</v>
      </c>
      <c r="C62" s="258">
        <f t="shared" si="2"/>
        <v>0.68359375</v>
      </c>
      <c r="D62" s="259"/>
      <c r="E62" s="210"/>
      <c r="F62" s="81">
        <f t="shared" si="3"/>
        <v>8.3740234375E-2</v>
      </c>
      <c r="G62" s="258">
        <f t="shared" si="4"/>
        <v>0.38402748107910167</v>
      </c>
      <c r="H62" s="210"/>
      <c r="I62" s="81">
        <f t="shared" si="5"/>
        <v>0.65881929174065579</v>
      </c>
    </row>
    <row r="63" spans="1:9" ht="12.75">
      <c r="A63" s="79">
        <v>12.15</v>
      </c>
      <c r="B63" s="80">
        <v>0.45</v>
      </c>
      <c r="C63" s="258">
        <f t="shared" si="2"/>
        <v>0.69750000000000001</v>
      </c>
      <c r="D63" s="259"/>
      <c r="E63" s="210"/>
      <c r="F63" s="81">
        <f t="shared" si="3"/>
        <v>9.1125000000000012E-2</v>
      </c>
      <c r="G63" s="258">
        <f t="shared" si="4"/>
        <v>0.40687312499999995</v>
      </c>
      <c r="H63" s="210"/>
      <c r="I63" s="81">
        <f t="shared" si="5"/>
        <v>0.68355994921874985</v>
      </c>
    </row>
    <row r="64" spans="1:9" ht="12.75">
      <c r="A64" s="79">
        <v>12.475</v>
      </c>
      <c r="B64" s="80">
        <v>0.47499999999999998</v>
      </c>
      <c r="C64" s="258">
        <f t="shared" si="2"/>
        <v>0.72437499999999999</v>
      </c>
      <c r="D64" s="259"/>
      <c r="E64" s="210"/>
      <c r="F64" s="81">
        <f t="shared" si="3"/>
        <v>0.10717187500000003</v>
      </c>
      <c r="G64" s="258">
        <f t="shared" si="4"/>
        <v>0.45320306640624997</v>
      </c>
      <c r="H64" s="210"/>
      <c r="I64" s="81">
        <f t="shared" si="5"/>
        <v>0.73041044729614257</v>
      </c>
    </row>
    <row r="65" spans="1:9" ht="12.75">
      <c r="A65" s="79">
        <v>12.56</v>
      </c>
      <c r="B65" s="80">
        <v>0.48125000000000001</v>
      </c>
      <c r="C65" s="258">
        <f t="shared" si="2"/>
        <v>0.73089843749999994</v>
      </c>
      <c r="D65" s="259"/>
      <c r="E65" s="210"/>
      <c r="F65" s="81">
        <f t="shared" si="3"/>
        <v>0.11145825195312498</v>
      </c>
      <c r="G65" s="258">
        <f t="shared" si="4"/>
        <v>0.46487669507980356</v>
      </c>
      <c r="H65" s="210"/>
      <c r="I65" s="81">
        <f t="shared" si="5"/>
        <v>0.74153826994642413</v>
      </c>
    </row>
    <row r="66" spans="1:9" ht="12.75">
      <c r="A66" s="79">
        <v>12.64</v>
      </c>
      <c r="B66" s="80">
        <v>0.48749999999999999</v>
      </c>
      <c r="C66" s="258">
        <f t="shared" si="2"/>
        <v>0.73734375000000008</v>
      </c>
      <c r="D66" s="259"/>
      <c r="E66" s="210"/>
      <c r="F66" s="81">
        <f t="shared" si="3"/>
        <v>0.11585742187499992</v>
      </c>
      <c r="G66" s="258">
        <f t="shared" si="4"/>
        <v>0.47657226379394535</v>
      </c>
      <c r="H66" s="210"/>
      <c r="I66" s="81">
        <f t="shared" si="5"/>
        <v>0.75242158661770842</v>
      </c>
    </row>
    <row r="67" spans="1:9" ht="12.75">
      <c r="A67" s="79">
        <v>12.8</v>
      </c>
      <c r="B67" s="80">
        <v>0.5</v>
      </c>
      <c r="C67" s="258">
        <f t="shared" si="2"/>
        <v>0.75</v>
      </c>
      <c r="D67" s="259"/>
      <c r="E67" s="210"/>
      <c r="F67" s="81">
        <f t="shared" si="3"/>
        <v>0.125</v>
      </c>
      <c r="G67" s="258">
        <f t="shared" si="4"/>
        <v>0.50000000000000011</v>
      </c>
      <c r="H67" s="210"/>
      <c r="I67" s="81">
        <f t="shared" si="5"/>
        <v>0.7734375</v>
      </c>
    </row>
    <row r="68" spans="1:9" ht="12.75">
      <c r="A68" s="79">
        <v>13.112500000000001</v>
      </c>
      <c r="B68" s="80">
        <v>0.52500000000000002</v>
      </c>
      <c r="C68" s="258">
        <f t="shared" si="2"/>
        <v>0.77437500000000004</v>
      </c>
      <c r="D68" s="259"/>
      <c r="E68" s="210"/>
      <c r="F68" s="81">
        <f t="shared" si="3"/>
        <v>0.14470312500000004</v>
      </c>
      <c r="G68" s="258">
        <f t="shared" si="4"/>
        <v>0.54679693359375003</v>
      </c>
      <c r="H68" s="210"/>
      <c r="I68" s="81">
        <f t="shared" si="5"/>
        <v>0.81237323556518559</v>
      </c>
    </row>
    <row r="69" spans="1:9" ht="12.75">
      <c r="A69" s="79">
        <v>13.425000000000001</v>
      </c>
      <c r="B69" s="80">
        <v>0.55000000000000004</v>
      </c>
      <c r="C69" s="258">
        <f t="shared" si="2"/>
        <v>0.7975000000000001</v>
      </c>
      <c r="D69" s="259"/>
      <c r="E69" s="210"/>
      <c r="F69" s="81">
        <f t="shared" si="3"/>
        <v>0.16637500000000005</v>
      </c>
      <c r="G69" s="258">
        <f t="shared" si="4"/>
        <v>0.59312687500000005</v>
      </c>
      <c r="H69" s="210"/>
      <c r="I69" s="81">
        <f t="shared" si="5"/>
        <v>0.84707231640625014</v>
      </c>
    </row>
    <row r="70" spans="1:9" ht="12.75">
      <c r="A70" s="79">
        <v>13.75</v>
      </c>
      <c r="B70" s="80">
        <v>0.57499999999999996</v>
      </c>
      <c r="C70" s="258">
        <f t="shared" si="2"/>
        <v>0.81937499999999996</v>
      </c>
      <c r="D70" s="259"/>
      <c r="E70" s="210"/>
      <c r="F70" s="81">
        <f t="shared" si="3"/>
        <v>0.19010937499999991</v>
      </c>
      <c r="G70" s="258">
        <f t="shared" si="4"/>
        <v>0.63852986328124983</v>
      </c>
      <c r="H70" s="210"/>
      <c r="I70" s="81">
        <f t="shared" si="5"/>
        <v>0.87750440249633788</v>
      </c>
    </row>
    <row r="71" spans="1:9" ht="12.75">
      <c r="A71" s="79">
        <v>14.05</v>
      </c>
      <c r="B71" s="80">
        <v>0.6</v>
      </c>
      <c r="C71" s="258">
        <f t="shared" si="2"/>
        <v>0.84</v>
      </c>
      <c r="D71" s="259"/>
      <c r="E71" s="210"/>
      <c r="F71" s="81">
        <f t="shared" si="3"/>
        <v>0.21599999999999997</v>
      </c>
      <c r="G71" s="258">
        <f t="shared" si="4"/>
        <v>0.68255999999999994</v>
      </c>
      <c r="H71" s="210"/>
      <c r="I71" s="81">
        <f t="shared" si="5"/>
        <v>0.90374399999999999</v>
      </c>
    </row>
    <row r="72" spans="1:9" ht="12.75">
      <c r="A72" s="79">
        <v>14.25</v>
      </c>
      <c r="B72" s="80">
        <v>0.61250000000000004</v>
      </c>
      <c r="C72" s="258">
        <f t="shared" si="2"/>
        <v>0.84984375000000001</v>
      </c>
      <c r="D72" s="259"/>
      <c r="E72" s="210"/>
      <c r="F72" s="81">
        <f t="shared" si="3"/>
        <v>0.22978320312500011</v>
      </c>
      <c r="G72" s="258">
        <f t="shared" si="4"/>
        <v>0.7039264813232422</v>
      </c>
      <c r="H72" s="210"/>
      <c r="I72" s="81">
        <f t="shared" si="5"/>
        <v>0.91534057620692255</v>
      </c>
    </row>
    <row r="73" spans="1:9" ht="12.75">
      <c r="A73" s="79">
        <v>14.45</v>
      </c>
      <c r="B73" s="80">
        <v>0.625</v>
      </c>
      <c r="C73" s="258">
        <f t="shared" si="2"/>
        <v>0.859375</v>
      </c>
      <c r="D73" s="259"/>
      <c r="E73" s="210"/>
      <c r="F73" s="81">
        <f t="shared" si="3"/>
        <v>0.244140625</v>
      </c>
      <c r="G73" s="258">
        <f t="shared" si="4"/>
        <v>0.72479248046875</v>
      </c>
      <c r="H73" s="210"/>
      <c r="I73" s="81">
        <f t="shared" si="5"/>
        <v>0.92595815658569336</v>
      </c>
    </row>
    <row r="74" spans="1:9" ht="12.75">
      <c r="A74" s="79">
        <v>14.85</v>
      </c>
      <c r="B74" s="80">
        <v>0.65</v>
      </c>
      <c r="C74" s="258">
        <f t="shared" si="2"/>
        <v>0.87750000000000006</v>
      </c>
      <c r="D74" s="259"/>
      <c r="E74" s="210"/>
      <c r="F74" s="81">
        <f t="shared" si="3"/>
        <v>0.27462500000000001</v>
      </c>
      <c r="G74" s="258">
        <f t="shared" si="4"/>
        <v>0.7648306250000001</v>
      </c>
      <c r="H74" s="210"/>
      <c r="I74" s="81">
        <f t="shared" si="5"/>
        <v>0.94439246484375006</v>
      </c>
    </row>
    <row r="75" spans="1:9" ht="12.75">
      <c r="A75" s="79">
        <v>15.3</v>
      </c>
      <c r="B75" s="80">
        <v>0.67500000000000004</v>
      </c>
      <c r="C75" s="258">
        <f t="shared" si="2"/>
        <v>0.89437500000000003</v>
      </c>
      <c r="D75" s="259"/>
      <c r="E75" s="210"/>
      <c r="F75" s="81">
        <f t="shared" si="3"/>
        <v>0.30754687500000011</v>
      </c>
      <c r="G75" s="258">
        <f t="shared" si="4"/>
        <v>0.80231291015625006</v>
      </c>
      <c r="H75" s="210"/>
      <c r="I75" s="81">
        <f t="shared" si="5"/>
        <v>0.95935583523559576</v>
      </c>
    </row>
    <row r="76" spans="1:9" ht="12.75">
      <c r="A76" s="79">
        <v>15.7</v>
      </c>
      <c r="B76" s="80">
        <v>0.7</v>
      </c>
      <c r="C76" s="258">
        <f t="shared" si="2"/>
        <v>0.91</v>
      </c>
      <c r="D76" s="259"/>
      <c r="E76" s="210"/>
      <c r="F76" s="81">
        <f t="shared" si="3"/>
        <v>0.34299999999999997</v>
      </c>
      <c r="G76" s="258">
        <f t="shared" si="4"/>
        <v>0.83692</v>
      </c>
      <c r="H76" s="210"/>
      <c r="I76" s="81">
        <f t="shared" si="5"/>
        <v>0.97120450000000003</v>
      </c>
    </row>
    <row r="77" spans="1:9" ht="12.75">
      <c r="A77" s="79">
        <v>16.149999999999999</v>
      </c>
      <c r="B77" s="80">
        <v>0.72499999999999998</v>
      </c>
      <c r="C77" s="258">
        <f t="shared" si="2"/>
        <v>0.92437499999999995</v>
      </c>
      <c r="D77" s="259"/>
      <c r="E77" s="210"/>
      <c r="F77" s="81">
        <f t="shared" si="3"/>
        <v>0.38107812499999993</v>
      </c>
      <c r="G77" s="258">
        <f t="shared" si="4"/>
        <v>0.86838177734374988</v>
      </c>
      <c r="H77" s="210"/>
      <c r="I77" s="81">
        <f t="shared" si="5"/>
        <v>0.9803257094421387</v>
      </c>
    </row>
    <row r="78" spans="1:9" ht="12.75">
      <c r="A78" s="79">
        <v>16.600000000000001</v>
      </c>
      <c r="B78" s="80">
        <v>0.75</v>
      </c>
      <c r="C78" s="258">
        <f t="shared" si="2"/>
        <v>0.9375</v>
      </c>
      <c r="D78" s="259"/>
      <c r="E78" s="210"/>
      <c r="F78" s="81">
        <f t="shared" si="3"/>
        <v>0.421875</v>
      </c>
      <c r="G78" s="258">
        <f t="shared" si="4"/>
        <v>0.896484375</v>
      </c>
      <c r="H78" s="210"/>
      <c r="I78" s="81">
        <f t="shared" si="5"/>
        <v>0.98712158203125</v>
      </c>
    </row>
    <row r="79" spans="1:9" ht="12.75">
      <c r="A79" s="79">
        <v>17.05</v>
      </c>
      <c r="B79" s="80">
        <v>0.77500000000000002</v>
      </c>
      <c r="C79" s="258">
        <f t="shared" si="2"/>
        <v>0.94937499999999997</v>
      </c>
      <c r="D79" s="259"/>
      <c r="E79" s="210"/>
      <c r="F79" s="81">
        <f t="shared" si="3"/>
        <v>0.46548437499999995</v>
      </c>
      <c r="G79" s="258">
        <f t="shared" si="4"/>
        <v>0.92107720703125007</v>
      </c>
      <c r="H79" s="210"/>
      <c r="I79" s="81">
        <f t="shared" si="5"/>
        <v>0.99199356973266606</v>
      </c>
    </row>
    <row r="80" spans="1:9" ht="12.75">
      <c r="A80" s="79">
        <v>17.600000000000001</v>
      </c>
      <c r="B80" s="80">
        <v>0.8</v>
      </c>
      <c r="C80" s="258">
        <f t="shared" si="2"/>
        <v>0.96</v>
      </c>
      <c r="D80" s="259"/>
      <c r="E80" s="210"/>
      <c r="F80" s="81">
        <f t="shared" si="3"/>
        <v>0.51200000000000012</v>
      </c>
      <c r="G80" s="258">
        <f t="shared" si="4"/>
        <v>0.94208000000000003</v>
      </c>
      <c r="H80" s="210"/>
      <c r="I80" s="81">
        <f t="shared" si="5"/>
        <v>0.99532799999999999</v>
      </c>
    </row>
    <row r="81" spans="1:9" ht="12.75">
      <c r="A81" s="79">
        <v>18.399999999999999</v>
      </c>
      <c r="B81" s="80">
        <v>0.82499999999999996</v>
      </c>
      <c r="C81" s="258">
        <f t="shared" si="2"/>
        <v>0.96937499999999999</v>
      </c>
      <c r="D81" s="259"/>
      <c r="E81" s="210"/>
      <c r="F81" s="81">
        <f t="shared" si="3"/>
        <v>0.56151562499999985</v>
      </c>
      <c r="G81" s="258">
        <f t="shared" si="4"/>
        <v>0.95948982421875006</v>
      </c>
      <c r="H81" s="210"/>
      <c r="I81" s="81">
        <f t="shared" si="5"/>
        <v>0.99748315585327152</v>
      </c>
    </row>
    <row r="82" spans="1:9" ht="12.75">
      <c r="A82" s="79">
        <v>18.850000000000001</v>
      </c>
      <c r="B82" s="80">
        <v>0.83750000000000002</v>
      </c>
      <c r="C82" s="258">
        <f t="shared" si="2"/>
        <v>0.97359375000000004</v>
      </c>
      <c r="D82" s="259"/>
      <c r="E82" s="210"/>
      <c r="F82" s="81">
        <f t="shared" si="3"/>
        <v>0.58742773437499995</v>
      </c>
      <c r="G82" s="258">
        <f t="shared" si="4"/>
        <v>0.96686933654785157</v>
      </c>
      <c r="H82" s="210"/>
      <c r="I82" s="81">
        <f t="shared" si="5"/>
        <v>0.99822006503319738</v>
      </c>
    </row>
    <row r="83" spans="1:9" ht="12.75">
      <c r="A83" s="79">
        <v>19.3</v>
      </c>
      <c r="B83" s="80">
        <v>0.85</v>
      </c>
      <c r="C83" s="258">
        <f t="shared" si="2"/>
        <v>0.97750000000000004</v>
      </c>
      <c r="D83" s="259"/>
      <c r="E83" s="210"/>
      <c r="F83" s="81">
        <f t="shared" si="3"/>
        <v>0.61412499999999992</v>
      </c>
      <c r="G83" s="258">
        <f t="shared" si="4"/>
        <v>0.97338812499999994</v>
      </c>
      <c r="H83" s="210"/>
      <c r="I83" s="81">
        <f t="shared" si="5"/>
        <v>0.99877835546875005</v>
      </c>
    </row>
    <row r="84" spans="1:9" ht="12.75">
      <c r="A84" s="79">
        <v>19.75</v>
      </c>
      <c r="B84" s="80">
        <v>0.86</v>
      </c>
      <c r="C84" s="258">
        <f t="shared" si="2"/>
        <v>0.98040000000000005</v>
      </c>
      <c r="D84" s="259"/>
      <c r="E84" s="210"/>
      <c r="F84" s="81">
        <f t="shared" si="3"/>
        <v>0.63605599999999995</v>
      </c>
      <c r="G84" s="258">
        <f t="shared" si="4"/>
        <v>0.97799970560000005</v>
      </c>
      <c r="H84" s="210"/>
      <c r="I84" s="81">
        <f t="shared" si="5"/>
        <v>0.9991182913344</v>
      </c>
    </row>
    <row r="85" spans="1:9" ht="12.75">
      <c r="A85" s="79">
        <v>20.350000000000001</v>
      </c>
      <c r="B85" s="80">
        <v>0.875</v>
      </c>
      <c r="C85" s="258">
        <f t="shared" si="2"/>
        <v>0.984375</v>
      </c>
      <c r="D85" s="259"/>
      <c r="E85" s="210"/>
      <c r="F85" s="81">
        <f t="shared" si="3"/>
        <v>0.669921875</v>
      </c>
      <c r="G85" s="258">
        <f t="shared" si="4"/>
        <v>0.98394775390625</v>
      </c>
      <c r="H85" s="210"/>
      <c r="I85" s="81">
        <f t="shared" si="5"/>
        <v>0.99948549270629883</v>
      </c>
    </row>
    <row r="86" spans="1:9" ht="12.75">
      <c r="A86" s="79">
        <v>20.9</v>
      </c>
      <c r="B86" s="80">
        <v>0.88749999999999996</v>
      </c>
      <c r="C86" s="258">
        <f t="shared" si="2"/>
        <v>0.98734374999999996</v>
      </c>
      <c r="D86" s="259"/>
      <c r="E86" s="210"/>
      <c r="F86" s="81">
        <f t="shared" si="3"/>
        <v>0.69904492187499989</v>
      </c>
      <c r="G86" s="258">
        <f t="shared" si="4"/>
        <v>0.98805630676269529</v>
      </c>
      <c r="H86" s="210"/>
      <c r="I86" s="81">
        <f t="shared" si="5"/>
        <v>0.99968910716366766</v>
      </c>
    </row>
    <row r="87" spans="1:9" ht="12.75">
      <c r="A87" s="79">
        <v>21.4</v>
      </c>
      <c r="B87" s="80">
        <v>0.9</v>
      </c>
      <c r="C87" s="258">
        <f t="shared" si="2"/>
        <v>0.99</v>
      </c>
      <c r="D87" s="259"/>
      <c r="E87" s="210"/>
      <c r="F87" s="81">
        <f t="shared" si="3"/>
        <v>0.72900000000000009</v>
      </c>
      <c r="G87" s="258">
        <f t="shared" si="4"/>
        <v>0.99143999999999999</v>
      </c>
      <c r="H87" s="210"/>
      <c r="I87" s="81">
        <f t="shared" si="5"/>
        <v>0.99982349999999998</v>
      </c>
    </row>
    <row r="88" spans="1:9" ht="12.75">
      <c r="A88" s="79">
        <v>21.65</v>
      </c>
      <c r="B88" s="80">
        <v>0.90500000000000003</v>
      </c>
      <c r="C88" s="258">
        <f t="shared" si="2"/>
        <v>0.99097500000000005</v>
      </c>
      <c r="D88" s="259"/>
      <c r="E88" s="210"/>
      <c r="F88" s="81">
        <f t="shared" si="3"/>
        <v>0.74121762499999999</v>
      </c>
      <c r="G88" s="258">
        <f t="shared" si="4"/>
        <v>0.99260158251874997</v>
      </c>
      <c r="H88" s="210"/>
      <c r="I88" s="81">
        <f t="shared" si="5"/>
        <v>0.9998621867133527</v>
      </c>
    </row>
    <row r="89" spans="1:9" ht="12.75">
      <c r="A89" s="79">
        <v>21.85</v>
      </c>
      <c r="B89" s="80">
        <v>0.91</v>
      </c>
      <c r="C89" s="258">
        <f t="shared" si="2"/>
        <v>0.9919</v>
      </c>
      <c r="D89" s="259"/>
      <c r="E89" s="210"/>
      <c r="F89" s="81">
        <f t="shared" si="3"/>
        <v>0.7535710000000001</v>
      </c>
      <c r="G89" s="258">
        <f t="shared" si="4"/>
        <v>0.99365872060000004</v>
      </c>
      <c r="H89" s="210"/>
      <c r="I89" s="81">
        <f t="shared" si="5"/>
        <v>0.99989388008964997</v>
      </c>
    </row>
    <row r="90" spans="1:9" ht="12.75">
      <c r="A90" s="79">
        <v>22</v>
      </c>
      <c r="B90" s="80">
        <v>0.91249999999999998</v>
      </c>
      <c r="C90" s="258">
        <f t="shared" si="2"/>
        <v>0.99234374999999997</v>
      </c>
      <c r="D90" s="259"/>
      <c r="E90" s="210"/>
      <c r="F90" s="81">
        <f t="shared" si="3"/>
        <v>0.75979882812499988</v>
      </c>
      <c r="G90" s="258">
        <f t="shared" si="4"/>
        <v>0.99414927917480467</v>
      </c>
      <c r="H90" s="210"/>
      <c r="I90" s="81">
        <f t="shared" si="5"/>
        <v>0.99990740791583066</v>
      </c>
    </row>
    <row r="91" spans="1:9" ht="12.75">
      <c r="A91" s="79">
        <v>22.4</v>
      </c>
      <c r="B91" s="80">
        <v>0.92</v>
      </c>
      <c r="C91" s="258">
        <f t="shared" si="2"/>
        <v>0.99360000000000004</v>
      </c>
      <c r="D91" s="259"/>
      <c r="E91" s="210"/>
      <c r="F91" s="81">
        <f t="shared" si="3"/>
        <v>0.77868800000000005</v>
      </c>
      <c r="G91" s="258">
        <f t="shared" si="4"/>
        <v>0.99547473919999996</v>
      </c>
      <c r="H91" s="210"/>
      <c r="I91" s="81">
        <f t="shared" si="5"/>
        <v>0.99994004766720002</v>
      </c>
    </row>
    <row r="92" spans="1:9" ht="12.75">
      <c r="A92" s="79">
        <v>22.7</v>
      </c>
      <c r="B92" s="80">
        <v>0.92500000000000004</v>
      </c>
      <c r="C92" s="258">
        <f t="shared" si="2"/>
        <v>0.99437500000000001</v>
      </c>
      <c r="D92" s="259"/>
      <c r="E92" s="210"/>
      <c r="F92" s="81">
        <f t="shared" si="3"/>
        <v>0.79145312500000009</v>
      </c>
      <c r="G92" s="258">
        <f t="shared" si="4"/>
        <v>0.99624162109375003</v>
      </c>
      <c r="H92" s="210"/>
      <c r="I92" s="81">
        <f t="shared" si="5"/>
        <v>0.99995619503784183</v>
      </c>
    </row>
    <row r="93" spans="1:9" ht="12.75">
      <c r="A93" s="79">
        <v>22.95</v>
      </c>
      <c r="B93" s="80">
        <v>0.93</v>
      </c>
      <c r="C93" s="258">
        <f t="shared" si="2"/>
        <v>0.99509999999999998</v>
      </c>
      <c r="D93" s="259"/>
      <c r="E93" s="210"/>
      <c r="F93" s="81">
        <f t="shared" si="3"/>
        <v>0.8043570000000001</v>
      </c>
      <c r="G93" s="258">
        <f t="shared" si="4"/>
        <v>0.99692006580000003</v>
      </c>
      <c r="H93" s="210"/>
      <c r="I93" s="81">
        <f t="shared" si="5"/>
        <v>0.99996869948355005</v>
      </c>
    </row>
    <row r="94" spans="1:9" ht="12.75">
      <c r="A94" s="79">
        <v>23.35</v>
      </c>
      <c r="B94" s="80">
        <v>0.9375</v>
      </c>
      <c r="C94" s="258">
        <f t="shared" si="2"/>
        <v>0.99609375</v>
      </c>
      <c r="D94" s="259"/>
      <c r="E94" s="210"/>
      <c r="F94" s="81">
        <f t="shared" si="3"/>
        <v>0.823974609375</v>
      </c>
      <c r="G94" s="258">
        <f t="shared" si="4"/>
        <v>0.99778175354003906</v>
      </c>
      <c r="H94" s="210"/>
      <c r="I94" s="81">
        <f t="shared" si="5"/>
        <v>0.99998200312256813</v>
      </c>
    </row>
    <row r="95" spans="1:9" ht="12.75">
      <c r="A95" s="79">
        <v>23.45</v>
      </c>
      <c r="B95" s="80">
        <v>0.94</v>
      </c>
      <c r="C95" s="258">
        <f t="shared" si="2"/>
        <v>0.99639999999999995</v>
      </c>
      <c r="D95" s="259"/>
      <c r="E95" s="210"/>
      <c r="F95" s="81">
        <f t="shared" si="3"/>
        <v>0.83058399999999988</v>
      </c>
      <c r="G95" s="258">
        <f t="shared" si="4"/>
        <v>0.99802973439999998</v>
      </c>
      <c r="H95" s="210"/>
      <c r="I95" s="81">
        <f t="shared" si="5"/>
        <v>0.99998526136959998</v>
      </c>
    </row>
    <row r="96" spans="1:9" ht="12.75">
      <c r="A96" s="79">
        <v>24.15</v>
      </c>
      <c r="B96" s="80">
        <v>0.95</v>
      </c>
      <c r="C96" s="258">
        <f t="shared" si="2"/>
        <v>0.99749999999999994</v>
      </c>
      <c r="D96" s="259"/>
      <c r="E96" s="210"/>
      <c r="F96" s="81">
        <f t="shared" si="3"/>
        <v>0.85737499999999989</v>
      </c>
      <c r="G96" s="258">
        <f t="shared" si="4"/>
        <v>0.99884187499999999</v>
      </c>
      <c r="H96" s="210"/>
      <c r="I96" s="81">
        <f t="shared" si="5"/>
        <v>0.99999397265625001</v>
      </c>
    </row>
    <row r="97" spans="1:9" ht="12.75">
      <c r="A97" s="79">
        <v>24.8</v>
      </c>
      <c r="B97" s="80">
        <v>0.95499999999999996</v>
      </c>
      <c r="C97" s="258">
        <f t="shared" si="2"/>
        <v>0.99797499999999995</v>
      </c>
      <c r="D97" s="259"/>
      <c r="E97" s="210"/>
      <c r="F97" s="81">
        <f t="shared" si="3"/>
        <v>0.87098387499999985</v>
      </c>
      <c r="G97" s="258">
        <f t="shared" si="4"/>
        <v>0.99914915220625</v>
      </c>
      <c r="H97" s="210"/>
      <c r="I97" s="81">
        <f t="shared" si="5"/>
        <v>0.99999640993613004</v>
      </c>
    </row>
    <row r="98" spans="1:9" ht="12.75">
      <c r="A98" s="79">
        <v>25.75</v>
      </c>
      <c r="B98" s="80">
        <v>0.96</v>
      </c>
      <c r="C98" s="258">
        <f t="shared" si="2"/>
        <v>0.99839999999999995</v>
      </c>
      <c r="D98" s="259"/>
      <c r="E98" s="210"/>
      <c r="F98" s="81">
        <f t="shared" si="3"/>
        <v>0.88473599999999997</v>
      </c>
      <c r="G98" s="258">
        <f t="shared" si="4"/>
        <v>0.99939778560000003</v>
      </c>
      <c r="H98" s="210"/>
      <c r="I98" s="81">
        <f t="shared" si="5"/>
        <v>0.99999799050240001</v>
      </c>
    </row>
    <row r="99" spans="1:9" ht="12.75">
      <c r="A99" s="79">
        <v>26.625</v>
      </c>
      <c r="B99" s="80">
        <v>0.96499999999999997</v>
      </c>
      <c r="C99" s="258">
        <f t="shared" si="2"/>
        <v>0.99877499999999997</v>
      </c>
      <c r="D99" s="259"/>
      <c r="E99" s="210"/>
      <c r="F99" s="81">
        <f t="shared" si="3"/>
        <v>0.89863212499999989</v>
      </c>
      <c r="G99" s="258">
        <f t="shared" si="4"/>
        <v>0.99959344424374996</v>
      </c>
      <c r="H99" s="210"/>
      <c r="I99" s="81">
        <f t="shared" si="5"/>
        <v>0.99999896041483238</v>
      </c>
    </row>
    <row r="100" spans="1:9" ht="12.75">
      <c r="A100" s="79">
        <v>27.5</v>
      </c>
      <c r="B100" s="80">
        <v>0.97</v>
      </c>
      <c r="C100" s="258">
        <f t="shared" si="2"/>
        <v>0.99909999999999999</v>
      </c>
      <c r="D100" s="259"/>
      <c r="E100" s="210"/>
      <c r="F100" s="81">
        <f t="shared" si="3"/>
        <v>0.91267299999999996</v>
      </c>
      <c r="G100" s="258">
        <f t="shared" si="4"/>
        <v>0.99974200420000003</v>
      </c>
      <c r="H100" s="210"/>
      <c r="I100" s="81">
        <f t="shared" si="5"/>
        <v>0.99999951488695005</v>
      </c>
    </row>
    <row r="101" spans="1:9" ht="12.75">
      <c r="A101" s="79">
        <v>28.625</v>
      </c>
      <c r="B101" s="80">
        <v>0.97499999999999998</v>
      </c>
      <c r="C101" s="258">
        <f t="shared" si="2"/>
        <v>0.99937500000000001</v>
      </c>
      <c r="D101" s="259"/>
      <c r="E101" s="210"/>
      <c r="F101" s="81">
        <f t="shared" si="3"/>
        <v>0.92685937499999993</v>
      </c>
      <c r="G101" s="258">
        <f t="shared" si="4"/>
        <v>0.99984955078125004</v>
      </c>
      <c r="H101" s="210"/>
      <c r="I101" s="81">
        <f t="shared" si="5"/>
        <v>0.99999980337524419</v>
      </c>
    </row>
    <row r="102" spans="1:9" ht="12.75">
      <c r="A102" s="79">
        <v>29.75</v>
      </c>
      <c r="B102" s="80">
        <v>0.98</v>
      </c>
      <c r="C102" s="258">
        <f t="shared" si="2"/>
        <v>0.99960000000000004</v>
      </c>
      <c r="D102" s="259"/>
      <c r="E102" s="210"/>
      <c r="F102" s="81">
        <f t="shared" si="3"/>
        <v>0.94119199999999992</v>
      </c>
      <c r="G102" s="258">
        <f t="shared" si="4"/>
        <v>0.99992238079999995</v>
      </c>
      <c r="H102" s="210"/>
      <c r="I102" s="81">
        <f t="shared" si="5"/>
        <v>0.99999993502079998</v>
      </c>
    </row>
    <row r="103" spans="1:9" ht="12.75">
      <c r="A103" s="79">
        <v>30.875</v>
      </c>
      <c r="B103" s="80">
        <v>0.98499999999999999</v>
      </c>
      <c r="C103" s="258">
        <f t="shared" si="2"/>
        <v>0.99977499999999997</v>
      </c>
      <c r="D103" s="259"/>
      <c r="E103" s="210"/>
      <c r="F103" s="81">
        <f t="shared" si="3"/>
        <v>0.95567162499999991</v>
      </c>
      <c r="G103" s="258">
        <f t="shared" si="4"/>
        <v>0.99996700481875</v>
      </c>
      <c r="H103" s="210"/>
      <c r="I103" s="81">
        <f t="shared" si="5"/>
        <v>0.99999998444923399</v>
      </c>
    </row>
    <row r="104" spans="1:9" ht="12.75">
      <c r="A104" s="79">
        <v>32</v>
      </c>
      <c r="B104" s="80">
        <v>0.99</v>
      </c>
      <c r="C104" s="258">
        <f t="shared" si="2"/>
        <v>0.99990000000000001</v>
      </c>
      <c r="D104" s="259"/>
      <c r="E104" s="210"/>
      <c r="F104" s="81">
        <f t="shared" si="3"/>
        <v>0.97029900000000002</v>
      </c>
      <c r="G104" s="258">
        <f t="shared" si="4"/>
        <v>0.99999014939999997</v>
      </c>
      <c r="H104" s="210"/>
      <c r="I104" s="81">
        <f t="shared" si="5"/>
        <v>0.99999999793484995</v>
      </c>
    </row>
    <row r="105" spans="1:9" ht="12.75">
      <c r="A105" s="79">
        <v>34</v>
      </c>
      <c r="B105" s="80">
        <v>0.995</v>
      </c>
      <c r="C105" s="258">
        <f t="shared" si="2"/>
        <v>0.99997499999999995</v>
      </c>
      <c r="D105" s="259"/>
      <c r="E105" s="210"/>
      <c r="F105" s="81">
        <f t="shared" si="3"/>
        <v>0.98507487500000002</v>
      </c>
      <c r="G105" s="258">
        <f t="shared" si="4"/>
        <v>0.99999875935625004</v>
      </c>
      <c r="H105" s="210"/>
      <c r="I105" s="81">
        <f t="shared" si="5"/>
        <v>0.99999999993492072</v>
      </c>
    </row>
    <row r="106" spans="1:9" ht="12.75">
      <c r="A106" s="79">
        <v>38</v>
      </c>
      <c r="B106" s="80">
        <v>0.999</v>
      </c>
      <c r="C106" s="258">
        <f t="shared" si="2"/>
        <v>0.99999899999999997</v>
      </c>
      <c r="D106" s="259"/>
      <c r="E106" s="210"/>
      <c r="F106" s="81">
        <f t="shared" si="3"/>
        <v>0.997002999</v>
      </c>
      <c r="G106" s="258">
        <f t="shared" si="4"/>
        <v>0.99999999001499396</v>
      </c>
      <c r="H106" s="210"/>
      <c r="I106" s="81">
        <f t="shared" si="5"/>
        <v>0.99999999999997902</v>
      </c>
    </row>
    <row r="107" spans="1:9" ht="15.75" customHeight="1">
      <c r="C107" s="207"/>
      <c r="D107" s="207"/>
      <c r="E107" s="207"/>
      <c r="G107" s="207"/>
      <c r="H107" s="207"/>
    </row>
    <row r="108" spans="1:9" ht="15.75" customHeight="1">
      <c r="C108" s="207"/>
      <c r="D108" s="207"/>
      <c r="E108" s="207"/>
      <c r="G108" s="207"/>
      <c r="H108" s="207"/>
    </row>
    <row r="109" spans="1:9" ht="15.75" customHeight="1">
      <c r="C109" s="207"/>
      <c r="D109" s="207"/>
      <c r="E109" s="207"/>
      <c r="G109" s="207"/>
      <c r="H109" s="207"/>
    </row>
    <row r="110" spans="1:9" ht="15.75" customHeight="1">
      <c r="C110" s="207"/>
      <c r="D110" s="207"/>
      <c r="E110" s="207"/>
      <c r="G110" s="207"/>
      <c r="H110" s="207"/>
    </row>
    <row r="111" spans="1:9" ht="15.75" customHeight="1">
      <c r="C111" s="207"/>
      <c r="D111" s="207"/>
      <c r="E111" s="207"/>
      <c r="G111" s="207"/>
      <c r="H111" s="207"/>
    </row>
    <row r="112" spans="1:9" ht="15.75" customHeight="1">
      <c r="C112" s="207"/>
      <c r="D112" s="207"/>
      <c r="E112" s="207"/>
      <c r="G112" s="207"/>
      <c r="H112" s="207"/>
    </row>
    <row r="113" spans="3:8" ht="15.75" customHeight="1">
      <c r="C113" s="207"/>
      <c r="D113" s="207"/>
      <c r="E113" s="207"/>
      <c r="G113" s="207"/>
      <c r="H113" s="207"/>
    </row>
    <row r="114" spans="3:8" ht="15.75" customHeight="1">
      <c r="C114" s="207"/>
      <c r="D114" s="207"/>
      <c r="E114" s="207"/>
      <c r="G114" s="207"/>
      <c r="H114" s="207"/>
    </row>
    <row r="115" spans="3:8" ht="15.75" customHeight="1">
      <c r="C115" s="207"/>
      <c r="D115" s="207"/>
      <c r="E115" s="207"/>
      <c r="G115" s="207"/>
      <c r="H115" s="207"/>
    </row>
    <row r="116" spans="3:8" ht="15.75" customHeight="1">
      <c r="C116" s="207"/>
      <c r="D116" s="207"/>
      <c r="E116" s="207"/>
      <c r="G116" s="207"/>
      <c r="H116" s="207"/>
    </row>
    <row r="117" spans="3:8" ht="15.75" customHeight="1">
      <c r="C117" s="207"/>
      <c r="D117" s="207"/>
      <c r="E117" s="207"/>
      <c r="G117" s="207"/>
      <c r="H117" s="207"/>
    </row>
    <row r="118" spans="3:8" ht="15.75" customHeight="1">
      <c r="C118" s="207"/>
      <c r="D118" s="207"/>
      <c r="E118" s="207"/>
      <c r="G118" s="207"/>
      <c r="H118" s="207"/>
    </row>
    <row r="119" spans="3:8" ht="15.75" customHeight="1">
      <c r="C119" s="207"/>
      <c r="D119" s="207"/>
      <c r="E119" s="207"/>
      <c r="G119" s="207"/>
      <c r="H119" s="207"/>
    </row>
    <row r="120" spans="3:8" ht="15.75" customHeight="1">
      <c r="C120" s="207"/>
      <c r="D120" s="207"/>
      <c r="E120" s="207"/>
      <c r="G120" s="207"/>
      <c r="H120" s="207"/>
    </row>
    <row r="121" spans="3:8" ht="15.75" customHeight="1">
      <c r="C121" s="207"/>
      <c r="D121" s="207"/>
      <c r="E121" s="207"/>
      <c r="G121" s="207"/>
      <c r="H121" s="207"/>
    </row>
    <row r="122" spans="3:8" ht="15.75" customHeight="1">
      <c r="C122" s="207"/>
      <c r="D122" s="207"/>
      <c r="E122" s="207"/>
      <c r="G122" s="207"/>
      <c r="H122" s="207"/>
    </row>
    <row r="123" spans="3:8" ht="15.75" customHeight="1">
      <c r="C123" s="207"/>
      <c r="D123" s="207"/>
      <c r="E123" s="207"/>
      <c r="G123" s="207"/>
      <c r="H123" s="207"/>
    </row>
    <row r="124" spans="3:8" ht="15.75" customHeight="1">
      <c r="C124" s="207"/>
      <c r="D124" s="207"/>
      <c r="E124" s="207"/>
      <c r="G124" s="207"/>
      <c r="H124" s="207"/>
    </row>
    <row r="125" spans="3:8" ht="15.75" customHeight="1">
      <c r="C125" s="207"/>
      <c r="D125" s="207"/>
      <c r="E125" s="207"/>
      <c r="G125" s="207"/>
      <c r="H125" s="207"/>
    </row>
    <row r="126" spans="3:8" ht="15.75" customHeight="1">
      <c r="C126" s="207"/>
      <c r="D126" s="207"/>
      <c r="E126" s="207"/>
      <c r="G126" s="207"/>
      <c r="H126" s="207"/>
    </row>
    <row r="127" spans="3:8" ht="15.75" customHeight="1">
      <c r="C127" s="207"/>
      <c r="D127" s="207"/>
      <c r="E127" s="207"/>
      <c r="G127" s="207"/>
      <c r="H127" s="207"/>
    </row>
    <row r="128" spans="3:8" ht="15.75" customHeight="1">
      <c r="C128" s="207"/>
      <c r="D128" s="207"/>
      <c r="E128" s="207"/>
      <c r="G128" s="207"/>
      <c r="H128" s="207"/>
    </row>
    <row r="129" spans="3:8" ht="15.75" customHeight="1">
      <c r="C129" s="207"/>
      <c r="D129" s="207"/>
      <c r="E129" s="207"/>
      <c r="G129" s="207"/>
      <c r="H129" s="207"/>
    </row>
    <row r="130" spans="3:8" ht="15.75" customHeight="1">
      <c r="C130" s="207"/>
      <c r="D130" s="207"/>
      <c r="E130" s="207"/>
      <c r="G130" s="207"/>
      <c r="H130" s="207"/>
    </row>
    <row r="131" spans="3:8" ht="15.75" customHeight="1">
      <c r="C131" s="207"/>
      <c r="D131" s="207"/>
      <c r="E131" s="207"/>
      <c r="G131" s="207"/>
      <c r="H131" s="207"/>
    </row>
    <row r="132" spans="3:8" ht="15.75" customHeight="1">
      <c r="C132" s="207"/>
      <c r="D132" s="207"/>
      <c r="E132" s="207"/>
      <c r="G132" s="207"/>
      <c r="H132" s="207"/>
    </row>
    <row r="133" spans="3:8" ht="15.75" customHeight="1">
      <c r="C133" s="207"/>
      <c r="D133" s="207"/>
      <c r="E133" s="207"/>
      <c r="G133" s="207"/>
      <c r="H133" s="207"/>
    </row>
    <row r="134" spans="3:8" ht="15.75" customHeight="1">
      <c r="C134" s="207"/>
      <c r="D134" s="207"/>
      <c r="E134" s="207"/>
      <c r="G134" s="207"/>
      <c r="H134" s="207"/>
    </row>
    <row r="135" spans="3:8" ht="15.75" customHeight="1">
      <c r="C135" s="207"/>
      <c r="D135" s="207"/>
      <c r="E135" s="207"/>
      <c r="G135" s="207"/>
      <c r="H135" s="207"/>
    </row>
    <row r="136" spans="3:8" ht="15.75" customHeight="1">
      <c r="C136" s="207"/>
      <c r="D136" s="207"/>
      <c r="E136" s="207"/>
      <c r="G136" s="207"/>
      <c r="H136" s="207"/>
    </row>
    <row r="137" spans="3:8" ht="15.75" customHeight="1">
      <c r="C137" s="207"/>
      <c r="D137" s="207"/>
      <c r="E137" s="207"/>
      <c r="G137" s="207"/>
      <c r="H137" s="207"/>
    </row>
    <row r="138" spans="3:8" ht="15.75" customHeight="1">
      <c r="C138" s="207"/>
      <c r="D138" s="207"/>
      <c r="E138" s="207"/>
      <c r="G138" s="207"/>
      <c r="H138" s="207"/>
    </row>
    <row r="139" spans="3:8" ht="15.75" customHeight="1">
      <c r="C139" s="207"/>
      <c r="D139" s="207"/>
      <c r="E139" s="207"/>
      <c r="G139" s="207"/>
      <c r="H139" s="207"/>
    </row>
    <row r="140" spans="3:8" ht="15.75" customHeight="1">
      <c r="C140" s="207"/>
      <c r="D140" s="207"/>
      <c r="E140" s="207"/>
      <c r="G140" s="207"/>
      <c r="H140" s="207"/>
    </row>
    <row r="141" spans="3:8" ht="15.75" customHeight="1">
      <c r="C141" s="207"/>
      <c r="D141" s="207"/>
      <c r="E141" s="207"/>
      <c r="G141" s="207"/>
      <c r="H141" s="207"/>
    </row>
    <row r="142" spans="3:8" ht="15.75" customHeight="1">
      <c r="C142" s="207"/>
      <c r="D142" s="207"/>
      <c r="E142" s="207"/>
      <c r="G142" s="207"/>
      <c r="H142" s="207"/>
    </row>
    <row r="143" spans="3:8" ht="15.75" customHeight="1">
      <c r="C143" s="207"/>
      <c r="D143" s="207"/>
      <c r="E143" s="207"/>
      <c r="G143" s="207"/>
      <c r="H143" s="207"/>
    </row>
    <row r="144" spans="3:8" ht="15.75" customHeight="1">
      <c r="C144" s="207"/>
      <c r="D144" s="207"/>
      <c r="E144" s="207"/>
      <c r="G144" s="207"/>
      <c r="H144" s="207"/>
    </row>
    <row r="145" spans="3:8" ht="15.75" customHeight="1">
      <c r="C145" s="207"/>
      <c r="D145" s="207"/>
      <c r="E145" s="207"/>
      <c r="G145" s="207"/>
      <c r="H145" s="207"/>
    </row>
    <row r="146" spans="3:8" ht="15.75" customHeight="1">
      <c r="C146" s="207"/>
      <c r="D146" s="207"/>
      <c r="E146" s="207"/>
      <c r="G146" s="207"/>
      <c r="H146" s="207"/>
    </row>
    <row r="147" spans="3:8" ht="15.75" customHeight="1">
      <c r="C147" s="207"/>
      <c r="D147" s="207"/>
      <c r="E147" s="207"/>
      <c r="G147" s="207"/>
      <c r="H147" s="207"/>
    </row>
    <row r="148" spans="3:8" ht="15.75" customHeight="1">
      <c r="C148" s="207"/>
      <c r="D148" s="207"/>
      <c r="E148" s="207"/>
      <c r="G148" s="207"/>
      <c r="H148" s="207"/>
    </row>
    <row r="149" spans="3:8" ht="15.75" customHeight="1">
      <c r="C149" s="207"/>
      <c r="D149" s="207"/>
      <c r="E149" s="207"/>
      <c r="G149" s="207"/>
      <c r="H149" s="207"/>
    </row>
    <row r="150" spans="3:8" ht="15.75" customHeight="1">
      <c r="C150" s="207"/>
      <c r="D150" s="207"/>
      <c r="E150" s="207"/>
      <c r="G150" s="207"/>
      <c r="H150" s="207"/>
    </row>
    <row r="151" spans="3:8" ht="15.75" customHeight="1">
      <c r="C151" s="207"/>
      <c r="D151" s="207"/>
      <c r="E151" s="207"/>
      <c r="G151" s="207"/>
      <c r="H151" s="207"/>
    </row>
    <row r="152" spans="3:8" ht="15.75" customHeight="1">
      <c r="C152" s="207"/>
      <c r="D152" s="207"/>
      <c r="E152" s="207"/>
      <c r="G152" s="207"/>
      <c r="H152" s="207"/>
    </row>
    <row r="153" spans="3:8" ht="15.75" customHeight="1">
      <c r="C153" s="207"/>
      <c r="D153" s="207"/>
      <c r="E153" s="207"/>
      <c r="G153" s="207"/>
      <c r="H153" s="207"/>
    </row>
    <row r="154" spans="3:8" ht="15.75" customHeight="1">
      <c r="C154" s="207"/>
      <c r="D154" s="207"/>
      <c r="E154" s="207"/>
      <c r="G154" s="207"/>
      <c r="H154" s="207"/>
    </row>
    <row r="155" spans="3:8" ht="15.75" customHeight="1">
      <c r="C155" s="207"/>
      <c r="D155" s="207"/>
      <c r="E155" s="207"/>
      <c r="G155" s="207"/>
      <c r="H155" s="207"/>
    </row>
    <row r="156" spans="3:8" ht="15.75" customHeight="1">
      <c r="C156" s="207"/>
      <c r="D156" s="207"/>
      <c r="E156" s="207"/>
      <c r="G156" s="207"/>
      <c r="H156" s="207"/>
    </row>
    <row r="157" spans="3:8" ht="15.75" customHeight="1">
      <c r="C157" s="207"/>
      <c r="D157" s="207"/>
      <c r="E157" s="207"/>
      <c r="G157" s="207"/>
      <c r="H157" s="207"/>
    </row>
    <row r="158" spans="3:8" ht="15.75" customHeight="1">
      <c r="C158" s="207"/>
      <c r="D158" s="207"/>
      <c r="E158" s="207"/>
      <c r="G158" s="207"/>
      <c r="H158" s="207"/>
    </row>
    <row r="159" spans="3:8" ht="15.75" customHeight="1">
      <c r="C159" s="207"/>
      <c r="D159" s="207"/>
      <c r="E159" s="207"/>
      <c r="G159" s="207"/>
      <c r="H159" s="207"/>
    </row>
    <row r="160" spans="3:8" ht="15.75" customHeight="1">
      <c r="C160" s="207"/>
      <c r="D160" s="207"/>
      <c r="E160" s="207"/>
      <c r="G160" s="207"/>
      <c r="H160" s="207"/>
    </row>
    <row r="161" spans="3:8" ht="15.75" customHeight="1">
      <c r="C161" s="207"/>
      <c r="D161" s="207"/>
      <c r="E161" s="207"/>
      <c r="G161" s="207"/>
      <c r="H161" s="207"/>
    </row>
    <row r="162" spans="3:8" ht="15.75" customHeight="1">
      <c r="C162" s="207"/>
      <c r="D162" s="207"/>
      <c r="E162" s="207"/>
      <c r="G162" s="207"/>
      <c r="H162" s="207"/>
    </row>
    <row r="163" spans="3:8" ht="15.75" customHeight="1">
      <c r="C163" s="207"/>
      <c r="D163" s="207"/>
      <c r="E163" s="207"/>
      <c r="G163" s="207"/>
      <c r="H163" s="207"/>
    </row>
    <row r="164" spans="3:8" ht="15.75" customHeight="1">
      <c r="C164" s="207"/>
      <c r="D164" s="207"/>
      <c r="E164" s="207"/>
      <c r="G164" s="207"/>
      <c r="H164" s="207"/>
    </row>
    <row r="165" spans="3:8" ht="15.75" customHeight="1">
      <c r="C165" s="207"/>
      <c r="D165" s="207"/>
      <c r="E165" s="207"/>
      <c r="G165" s="207"/>
      <c r="H165" s="207"/>
    </row>
    <row r="166" spans="3:8" ht="15.75" customHeight="1">
      <c r="C166" s="207"/>
      <c r="D166" s="207"/>
      <c r="E166" s="207"/>
      <c r="G166" s="207"/>
      <c r="H166" s="207"/>
    </row>
    <row r="167" spans="3:8" ht="15.75" customHeight="1">
      <c r="C167" s="207"/>
      <c r="D167" s="207"/>
      <c r="E167" s="207"/>
      <c r="G167" s="207"/>
      <c r="H167" s="207"/>
    </row>
    <row r="168" spans="3:8" ht="15.75" customHeight="1">
      <c r="C168" s="207"/>
      <c r="D168" s="207"/>
      <c r="E168" s="207"/>
      <c r="G168" s="207"/>
      <c r="H168" s="207"/>
    </row>
    <row r="169" spans="3:8" ht="15.75" customHeight="1">
      <c r="C169" s="207"/>
      <c r="D169" s="207"/>
      <c r="E169" s="207"/>
      <c r="G169" s="207"/>
      <c r="H169" s="207"/>
    </row>
    <row r="170" spans="3:8" ht="15.75" customHeight="1">
      <c r="C170" s="207"/>
      <c r="D170" s="207"/>
      <c r="E170" s="207"/>
      <c r="G170" s="207"/>
      <c r="H170" s="207"/>
    </row>
    <row r="171" spans="3:8" ht="15.75" customHeight="1">
      <c r="C171" s="207"/>
      <c r="D171" s="207"/>
      <c r="E171" s="207"/>
      <c r="G171" s="207"/>
      <c r="H171" s="207"/>
    </row>
    <row r="172" spans="3:8" ht="15.75" customHeight="1">
      <c r="G172" s="207"/>
      <c r="H172" s="207"/>
    </row>
    <row r="173" spans="3:8" ht="15.75" customHeight="1">
      <c r="G173" s="207"/>
      <c r="H173" s="207"/>
    </row>
    <row r="174" spans="3:8" ht="15.75" customHeight="1">
      <c r="G174" s="207"/>
      <c r="H174" s="207"/>
    </row>
    <row r="175" spans="3:8" ht="15.75" customHeight="1">
      <c r="G175" s="207"/>
      <c r="H175" s="207"/>
    </row>
    <row r="176" spans="3:8" ht="15.75" customHeight="1">
      <c r="G176" s="207"/>
      <c r="H176" s="207"/>
    </row>
    <row r="177" spans="7:8" ht="15.75" customHeight="1">
      <c r="G177" s="207"/>
      <c r="H177" s="207"/>
    </row>
    <row r="178" spans="7:8" ht="15.75" customHeight="1">
      <c r="G178" s="207"/>
      <c r="H178" s="207"/>
    </row>
    <row r="179" spans="7:8" ht="15.75" customHeight="1">
      <c r="G179" s="207"/>
      <c r="H179" s="207"/>
    </row>
    <row r="180" spans="7:8" ht="15.75" customHeight="1">
      <c r="G180" s="207"/>
      <c r="H180" s="207"/>
    </row>
    <row r="181" spans="7:8" ht="15.75" customHeight="1">
      <c r="G181" s="207"/>
      <c r="H181" s="207"/>
    </row>
    <row r="182" spans="7:8" ht="15.75" customHeight="1">
      <c r="G182" s="207"/>
      <c r="H182" s="207"/>
    </row>
    <row r="183" spans="7:8" ht="15.75" customHeight="1">
      <c r="G183" s="207"/>
      <c r="H183" s="207"/>
    </row>
    <row r="184" spans="7:8" ht="15.75" customHeight="1">
      <c r="G184" s="207"/>
      <c r="H184" s="207"/>
    </row>
    <row r="185" spans="7:8" ht="15.75" customHeight="1">
      <c r="G185" s="207"/>
      <c r="H185" s="207"/>
    </row>
    <row r="186" spans="7:8" ht="15.75" customHeight="1">
      <c r="G186" s="207"/>
      <c r="H186" s="207"/>
    </row>
    <row r="187" spans="7:8" ht="15.75" customHeight="1">
      <c r="G187" s="207"/>
      <c r="H187" s="207"/>
    </row>
    <row r="188" spans="7:8" ht="15.75" customHeight="1">
      <c r="G188" s="207"/>
      <c r="H188" s="207"/>
    </row>
    <row r="189" spans="7:8" ht="15.75" customHeight="1">
      <c r="G189" s="207"/>
      <c r="H189" s="207"/>
    </row>
    <row r="190" spans="7:8" ht="15.75" customHeight="1">
      <c r="G190" s="207"/>
      <c r="H190" s="207"/>
    </row>
    <row r="191" spans="7:8" ht="15.75" customHeight="1">
      <c r="G191" s="207"/>
      <c r="H191" s="207"/>
    </row>
    <row r="192" spans="7:8" ht="15.75" customHeight="1">
      <c r="G192" s="207"/>
      <c r="H192" s="207"/>
    </row>
    <row r="193" spans="7:8" ht="15.75" customHeight="1">
      <c r="G193" s="207"/>
      <c r="H193" s="207"/>
    </row>
    <row r="194" spans="7:8" ht="15.75" customHeight="1">
      <c r="G194" s="207"/>
      <c r="H194" s="207"/>
    </row>
    <row r="195" spans="7:8" ht="15.75" customHeight="1">
      <c r="G195" s="207"/>
      <c r="H195" s="207"/>
    </row>
    <row r="196" spans="7:8" ht="15.75" customHeight="1">
      <c r="G196" s="207"/>
      <c r="H196" s="207"/>
    </row>
    <row r="197" spans="7:8" ht="15.75" customHeight="1">
      <c r="G197" s="207"/>
      <c r="H197" s="207"/>
    </row>
    <row r="198" spans="7:8" ht="15.75" customHeight="1">
      <c r="G198" s="207"/>
      <c r="H198" s="207"/>
    </row>
    <row r="199" spans="7:8" ht="15.75" customHeight="1">
      <c r="G199" s="207"/>
      <c r="H199" s="207"/>
    </row>
    <row r="200" spans="7:8" ht="15.75" customHeight="1">
      <c r="G200" s="207"/>
      <c r="H200" s="207"/>
    </row>
    <row r="201" spans="7:8" ht="15.75" customHeight="1">
      <c r="G201" s="207"/>
      <c r="H201" s="207"/>
    </row>
    <row r="202" spans="7:8" ht="15.75" customHeight="1">
      <c r="G202" s="207"/>
      <c r="H202" s="207"/>
    </row>
    <row r="203" spans="7:8" ht="15.75" customHeight="1">
      <c r="G203" s="207"/>
      <c r="H203" s="207"/>
    </row>
    <row r="204" spans="7:8" ht="15.75" customHeight="1">
      <c r="G204" s="207"/>
      <c r="H204" s="207"/>
    </row>
    <row r="205" spans="7:8" ht="15.75" customHeight="1">
      <c r="G205" s="207"/>
      <c r="H205" s="207"/>
    </row>
    <row r="206" spans="7:8" ht="15.75" customHeight="1">
      <c r="G206" s="207"/>
      <c r="H206" s="207"/>
    </row>
    <row r="207" spans="7:8" ht="15.75" customHeight="1">
      <c r="G207" s="207"/>
      <c r="H207" s="207"/>
    </row>
    <row r="208" spans="7:8" ht="15.75" customHeight="1">
      <c r="G208" s="207"/>
      <c r="H208" s="207"/>
    </row>
    <row r="209" spans="7:8" ht="15.75" customHeight="1">
      <c r="G209" s="207"/>
      <c r="H209" s="207"/>
    </row>
    <row r="210" spans="7:8" ht="15.75" customHeight="1">
      <c r="G210" s="207"/>
      <c r="H210" s="207"/>
    </row>
    <row r="211" spans="7:8" ht="15.75" customHeight="1">
      <c r="G211" s="207"/>
      <c r="H211" s="207"/>
    </row>
    <row r="212" spans="7:8" ht="15.75" customHeight="1">
      <c r="G212" s="207"/>
      <c r="H212" s="207"/>
    </row>
    <row r="213" spans="7:8" ht="15.75" customHeight="1">
      <c r="G213" s="207"/>
      <c r="H213" s="207"/>
    </row>
    <row r="214" spans="7:8" ht="15.75" customHeight="1">
      <c r="G214" s="207"/>
      <c r="H214" s="207"/>
    </row>
    <row r="215" spans="7:8" ht="15.75" customHeight="1">
      <c r="G215" s="207"/>
      <c r="H215" s="207"/>
    </row>
    <row r="216" spans="7:8" ht="15.75" customHeight="1">
      <c r="G216" s="207"/>
      <c r="H216" s="207"/>
    </row>
    <row r="217" spans="7:8" ht="15.75" customHeight="1">
      <c r="G217" s="207"/>
      <c r="H217" s="207"/>
    </row>
    <row r="218" spans="7:8" ht="15.75" customHeight="1">
      <c r="G218" s="207"/>
      <c r="H218" s="207"/>
    </row>
    <row r="219" spans="7:8" ht="15.75" customHeight="1">
      <c r="G219" s="207"/>
      <c r="H219" s="207"/>
    </row>
    <row r="220" spans="7:8" ht="15.75" customHeight="1">
      <c r="G220" s="207"/>
      <c r="H220" s="207"/>
    </row>
    <row r="221" spans="7:8" ht="15.75" customHeight="1">
      <c r="G221" s="207"/>
      <c r="H221" s="207"/>
    </row>
    <row r="222" spans="7:8" ht="15.75" customHeight="1">
      <c r="G222" s="207"/>
      <c r="H222" s="207"/>
    </row>
    <row r="223" spans="7:8" ht="15.75" customHeight="1">
      <c r="G223" s="207"/>
      <c r="H223" s="207"/>
    </row>
    <row r="224" spans="7:8" ht="15.75" customHeight="1">
      <c r="G224" s="207"/>
      <c r="H224" s="207"/>
    </row>
    <row r="225" spans="7:8" ht="15.75" customHeight="1">
      <c r="G225" s="207"/>
      <c r="H225" s="207"/>
    </row>
    <row r="226" spans="7:8" ht="15.75" customHeight="1">
      <c r="G226" s="207"/>
      <c r="H226" s="207"/>
    </row>
    <row r="227" spans="7:8" ht="15.75" customHeight="1">
      <c r="G227" s="207"/>
      <c r="H227" s="207"/>
    </row>
    <row r="228" spans="7:8" ht="15.75" customHeight="1">
      <c r="G228" s="207"/>
      <c r="H228" s="207"/>
    </row>
    <row r="229" spans="7:8" ht="15.75" customHeight="1">
      <c r="G229" s="207"/>
      <c r="H229" s="207"/>
    </row>
    <row r="230" spans="7:8" ht="15.75" customHeight="1">
      <c r="G230" s="207"/>
      <c r="H230" s="207"/>
    </row>
    <row r="231" spans="7:8" ht="15.75" customHeight="1">
      <c r="G231" s="207"/>
      <c r="H231" s="207"/>
    </row>
    <row r="232" spans="7:8" ht="15.75" customHeight="1">
      <c r="G232" s="207"/>
      <c r="H232" s="207"/>
    </row>
    <row r="233" spans="7:8" ht="15.75" customHeight="1">
      <c r="G233" s="207"/>
      <c r="H233" s="207"/>
    </row>
    <row r="234" spans="7:8" ht="15.75" customHeight="1">
      <c r="G234" s="207"/>
      <c r="H234" s="207"/>
    </row>
    <row r="235" spans="7:8" ht="15.75" customHeight="1">
      <c r="G235" s="207"/>
      <c r="H235" s="207"/>
    </row>
    <row r="236" spans="7:8" ht="15.75" customHeight="1">
      <c r="G236" s="207"/>
      <c r="H236" s="207"/>
    </row>
    <row r="237" spans="7:8" ht="15.75" customHeight="1">
      <c r="G237" s="207"/>
      <c r="H237" s="207"/>
    </row>
    <row r="238" spans="7:8" ht="15.75" customHeight="1">
      <c r="G238" s="207"/>
      <c r="H238" s="207"/>
    </row>
    <row r="239" spans="7:8" ht="15.75" customHeight="1">
      <c r="G239" s="207"/>
      <c r="H239" s="207"/>
    </row>
    <row r="240" spans="7:8" ht="15.75" customHeight="1">
      <c r="G240" s="207"/>
      <c r="H240" s="207"/>
    </row>
    <row r="241" spans="7:8" ht="15.75" customHeight="1">
      <c r="G241" s="207"/>
      <c r="H241" s="207"/>
    </row>
    <row r="242" spans="7:8" ht="15.75" customHeight="1">
      <c r="G242" s="207"/>
      <c r="H242" s="207"/>
    </row>
    <row r="243" spans="7:8" ht="15.75" customHeight="1">
      <c r="G243" s="207"/>
      <c r="H243" s="207"/>
    </row>
    <row r="244" spans="7:8" ht="15.75" customHeight="1">
      <c r="G244" s="207"/>
      <c r="H244" s="207"/>
    </row>
    <row r="245" spans="7:8" ht="15.75" customHeight="1">
      <c r="G245" s="207"/>
      <c r="H245" s="207"/>
    </row>
    <row r="246" spans="7:8" ht="15.75" customHeight="1">
      <c r="G246" s="207"/>
      <c r="H246" s="207"/>
    </row>
    <row r="247" spans="7:8" ht="15.75" customHeight="1">
      <c r="G247" s="207"/>
      <c r="H247" s="207"/>
    </row>
    <row r="248" spans="7:8" ht="15.75" customHeight="1">
      <c r="G248" s="207"/>
      <c r="H248" s="207"/>
    </row>
    <row r="249" spans="7:8" ht="15.75" customHeight="1">
      <c r="G249" s="207"/>
      <c r="H249" s="207"/>
    </row>
    <row r="250" spans="7:8" ht="15.75" customHeight="1">
      <c r="G250" s="207"/>
      <c r="H250" s="207"/>
    </row>
    <row r="251" spans="7:8" ht="15.75" customHeight="1">
      <c r="G251" s="207"/>
      <c r="H251" s="207"/>
    </row>
    <row r="252" spans="7:8" ht="15.75" customHeight="1">
      <c r="G252" s="207"/>
      <c r="H252" s="207"/>
    </row>
    <row r="253" spans="7:8" ht="15.75" customHeight="1">
      <c r="G253" s="207"/>
      <c r="H253" s="207"/>
    </row>
    <row r="254" spans="7:8" ht="15.75" customHeight="1">
      <c r="G254" s="207"/>
      <c r="H254" s="207"/>
    </row>
    <row r="255" spans="7:8" ht="15.75" customHeight="1">
      <c r="G255" s="207"/>
      <c r="H255" s="207"/>
    </row>
    <row r="256" spans="7:8" ht="15.75" customHeight="1">
      <c r="G256" s="207"/>
      <c r="H256" s="207"/>
    </row>
    <row r="257" spans="7:8" ht="15.75" customHeight="1">
      <c r="G257" s="207"/>
      <c r="H257" s="207"/>
    </row>
    <row r="258" spans="7:8" ht="15.75" customHeight="1">
      <c r="G258" s="207"/>
      <c r="H258" s="207"/>
    </row>
    <row r="259" spans="7:8" ht="15.75" customHeight="1">
      <c r="G259" s="207"/>
      <c r="H259" s="207"/>
    </row>
    <row r="260" spans="7:8" ht="15.75" customHeight="1">
      <c r="G260" s="207"/>
      <c r="H260" s="207"/>
    </row>
    <row r="261" spans="7:8" ht="15.75" customHeight="1">
      <c r="G261" s="207"/>
      <c r="H261" s="207"/>
    </row>
    <row r="262" spans="7:8" ht="15.75" customHeight="1">
      <c r="G262" s="207"/>
      <c r="H262" s="207"/>
    </row>
    <row r="263" spans="7:8" ht="15.75" customHeight="1">
      <c r="G263" s="207"/>
      <c r="H263" s="207"/>
    </row>
    <row r="264" spans="7:8" ht="15.75" customHeight="1">
      <c r="G264" s="207"/>
      <c r="H264" s="207"/>
    </row>
    <row r="265" spans="7:8" ht="15.75" customHeight="1">
      <c r="G265" s="207"/>
      <c r="H265" s="207"/>
    </row>
    <row r="266" spans="7:8" ht="15.75" customHeight="1">
      <c r="G266" s="207"/>
      <c r="H266" s="207"/>
    </row>
    <row r="267" spans="7:8" ht="15.75" customHeight="1">
      <c r="G267" s="207"/>
      <c r="H267" s="207"/>
    </row>
    <row r="268" spans="7:8" ht="15.75" customHeight="1">
      <c r="G268" s="207"/>
      <c r="H268" s="207"/>
    </row>
    <row r="269" spans="7:8" ht="15.75" customHeight="1">
      <c r="G269" s="207"/>
      <c r="H269" s="207"/>
    </row>
    <row r="270" spans="7:8" ht="15.75" customHeight="1">
      <c r="G270" s="207"/>
      <c r="H270" s="207"/>
    </row>
    <row r="271" spans="7:8" ht="15.75" customHeight="1">
      <c r="G271" s="207"/>
      <c r="H271" s="207"/>
    </row>
    <row r="272" spans="7:8" ht="15.75" customHeight="1">
      <c r="G272" s="207"/>
      <c r="H272" s="207"/>
    </row>
    <row r="273" spans="7:8" ht="15.75" customHeight="1">
      <c r="G273" s="207"/>
      <c r="H273" s="207"/>
    </row>
    <row r="274" spans="7:8" ht="15.75" customHeight="1">
      <c r="G274" s="207"/>
      <c r="H274" s="207"/>
    </row>
    <row r="275" spans="7:8" ht="15.75" customHeight="1">
      <c r="G275" s="207"/>
      <c r="H275" s="207"/>
    </row>
    <row r="276" spans="7:8" ht="15.75" customHeight="1">
      <c r="G276" s="207"/>
      <c r="H276" s="207"/>
    </row>
    <row r="277" spans="7:8" ht="15.75" customHeight="1">
      <c r="G277" s="207"/>
      <c r="H277" s="207"/>
    </row>
    <row r="278" spans="7:8" ht="15.75" customHeight="1">
      <c r="G278" s="207"/>
      <c r="H278" s="207"/>
    </row>
    <row r="279" spans="7:8" ht="15.75" customHeight="1">
      <c r="G279" s="207"/>
      <c r="H279" s="207"/>
    </row>
    <row r="280" spans="7:8" ht="15.75" customHeight="1">
      <c r="G280" s="207"/>
      <c r="H280" s="207"/>
    </row>
    <row r="281" spans="7:8" ht="15.75" customHeight="1">
      <c r="G281" s="207"/>
      <c r="H281" s="207"/>
    </row>
    <row r="282" spans="7:8" ht="15.75" customHeight="1">
      <c r="G282" s="207"/>
      <c r="H282" s="207"/>
    </row>
    <row r="283" spans="7:8" ht="15.75" customHeight="1">
      <c r="G283" s="207"/>
      <c r="H283" s="207"/>
    </row>
    <row r="284" spans="7:8" ht="15.75" customHeight="1">
      <c r="G284" s="207"/>
      <c r="H284" s="207"/>
    </row>
    <row r="285" spans="7:8" ht="15.75" customHeight="1">
      <c r="G285" s="207"/>
      <c r="H285" s="207"/>
    </row>
    <row r="286" spans="7:8" ht="15.75" customHeight="1">
      <c r="G286" s="207"/>
      <c r="H286" s="207"/>
    </row>
    <row r="287" spans="7:8" ht="15.75" customHeight="1">
      <c r="G287" s="207"/>
      <c r="H287" s="207"/>
    </row>
    <row r="288" spans="7:8" ht="15.75" customHeight="1">
      <c r="G288" s="207"/>
      <c r="H288" s="207"/>
    </row>
    <row r="289" spans="7:8" ht="15.75" customHeight="1">
      <c r="G289" s="207"/>
      <c r="H289" s="207"/>
    </row>
    <row r="290" spans="7:8" ht="15.75" customHeight="1">
      <c r="G290" s="207"/>
      <c r="H290" s="207"/>
    </row>
    <row r="291" spans="7:8" ht="15.75" customHeight="1">
      <c r="G291" s="207"/>
      <c r="H291" s="207"/>
    </row>
    <row r="292" spans="7:8" ht="15.75" customHeight="1">
      <c r="G292" s="207"/>
      <c r="H292" s="207"/>
    </row>
    <row r="293" spans="7:8" ht="15.75" customHeight="1">
      <c r="G293" s="207"/>
      <c r="H293" s="207"/>
    </row>
    <row r="294" spans="7:8" ht="15.75" customHeight="1">
      <c r="G294" s="207"/>
      <c r="H294" s="207"/>
    </row>
    <row r="295" spans="7:8" ht="15.75" customHeight="1">
      <c r="G295" s="207"/>
      <c r="H295" s="207"/>
    </row>
    <row r="296" spans="7:8" ht="15.75" customHeight="1">
      <c r="G296" s="207"/>
      <c r="H296" s="207"/>
    </row>
    <row r="297" spans="7:8" ht="15.75" customHeight="1">
      <c r="G297" s="207"/>
      <c r="H297" s="207"/>
    </row>
    <row r="298" spans="7:8" ht="15.75" customHeight="1">
      <c r="G298" s="207"/>
      <c r="H298" s="207"/>
    </row>
    <row r="299" spans="7:8" ht="15.75" customHeight="1">
      <c r="G299" s="207"/>
      <c r="H299" s="207"/>
    </row>
    <row r="300" spans="7:8" ht="15.75" customHeight="1">
      <c r="G300" s="207"/>
      <c r="H300" s="207"/>
    </row>
    <row r="301" spans="7:8" ht="15.75" customHeight="1">
      <c r="G301" s="207"/>
      <c r="H301" s="207"/>
    </row>
    <row r="302" spans="7:8" ht="15.75" customHeight="1">
      <c r="G302" s="207"/>
      <c r="H302" s="207"/>
    </row>
    <row r="303" spans="7:8" ht="15.75" customHeight="1">
      <c r="G303" s="207"/>
      <c r="H303" s="207"/>
    </row>
    <row r="304" spans="7:8" ht="15.75" customHeight="1">
      <c r="G304" s="207"/>
      <c r="H304" s="207"/>
    </row>
    <row r="305" spans="7:8" ht="15.75" customHeight="1">
      <c r="G305" s="207"/>
      <c r="H305" s="207"/>
    </row>
    <row r="306" spans="7:8" ht="15.75" customHeight="1">
      <c r="G306" s="207"/>
      <c r="H306" s="207"/>
    </row>
    <row r="307" spans="7:8" ht="15.75" customHeight="1">
      <c r="G307" s="207"/>
      <c r="H307" s="207"/>
    </row>
    <row r="308" spans="7:8" ht="15.75" customHeight="1">
      <c r="G308" s="207"/>
      <c r="H308" s="207"/>
    </row>
    <row r="309" spans="7:8" ht="15.75" customHeight="1">
      <c r="G309" s="207"/>
      <c r="H309" s="207"/>
    </row>
    <row r="310" spans="7:8" ht="15.75" customHeight="1">
      <c r="G310" s="207"/>
      <c r="H310" s="207"/>
    </row>
    <row r="311" spans="7:8" ht="15.75" customHeight="1">
      <c r="G311" s="207"/>
      <c r="H311" s="207"/>
    </row>
    <row r="312" spans="7:8" ht="15.75" customHeight="1">
      <c r="G312" s="207"/>
      <c r="H312" s="207"/>
    </row>
    <row r="313" spans="7:8" ht="15.75" customHeight="1">
      <c r="G313" s="207"/>
      <c r="H313" s="207"/>
    </row>
    <row r="314" spans="7:8" ht="15.75" customHeight="1">
      <c r="G314" s="207"/>
      <c r="H314" s="207"/>
    </row>
    <row r="315" spans="7:8" ht="15.75" customHeight="1">
      <c r="G315" s="207"/>
      <c r="H315" s="207"/>
    </row>
    <row r="316" spans="7:8" ht="15.75" customHeight="1">
      <c r="G316" s="207"/>
      <c r="H316" s="207"/>
    </row>
    <row r="317" spans="7:8" ht="15.75" customHeight="1">
      <c r="G317" s="207"/>
      <c r="H317" s="207"/>
    </row>
    <row r="318" spans="7:8" ht="15.75" customHeight="1">
      <c r="G318" s="207"/>
      <c r="H318" s="207"/>
    </row>
    <row r="319" spans="7:8" ht="15.75" customHeight="1">
      <c r="G319" s="207"/>
      <c r="H319" s="207"/>
    </row>
    <row r="320" spans="7:8" ht="15.75" customHeight="1">
      <c r="G320" s="207"/>
      <c r="H320" s="207"/>
    </row>
    <row r="321" spans="7:8" ht="15.75" customHeight="1">
      <c r="G321" s="207"/>
      <c r="H321" s="207"/>
    </row>
    <row r="322" spans="7:8" ht="15.75" customHeight="1">
      <c r="G322" s="207"/>
      <c r="H322" s="207"/>
    </row>
    <row r="323" spans="7:8" ht="15.75" customHeight="1">
      <c r="G323" s="207"/>
      <c r="H323" s="207"/>
    </row>
    <row r="324" spans="7:8" ht="15.75" customHeight="1">
      <c r="G324" s="207"/>
      <c r="H324" s="207"/>
    </row>
    <row r="325" spans="7:8" ht="15.75" customHeight="1">
      <c r="G325" s="207"/>
      <c r="H325" s="207"/>
    </row>
    <row r="326" spans="7:8" ht="15.75" customHeight="1">
      <c r="G326" s="207"/>
      <c r="H326" s="207"/>
    </row>
    <row r="327" spans="7:8" ht="15.75" customHeight="1">
      <c r="G327" s="207"/>
      <c r="H327" s="207"/>
    </row>
    <row r="328" spans="7:8" ht="15.75" customHeight="1">
      <c r="G328" s="207"/>
      <c r="H328" s="207"/>
    </row>
    <row r="329" spans="7:8" ht="15.75" customHeight="1">
      <c r="G329" s="207"/>
      <c r="H329" s="207"/>
    </row>
    <row r="330" spans="7:8" ht="15.75" customHeight="1">
      <c r="G330" s="207"/>
      <c r="H330" s="207"/>
    </row>
    <row r="331" spans="7:8" ht="15.75" customHeight="1">
      <c r="G331" s="207"/>
      <c r="H331" s="207"/>
    </row>
    <row r="332" spans="7:8" ht="15.75" customHeight="1">
      <c r="G332" s="207"/>
      <c r="H332" s="207"/>
    </row>
    <row r="333" spans="7:8" ht="15.75" customHeight="1">
      <c r="G333" s="207"/>
      <c r="H333" s="207"/>
    </row>
    <row r="334" spans="7:8" ht="15.75" customHeight="1">
      <c r="G334" s="207"/>
      <c r="H334" s="207"/>
    </row>
    <row r="335" spans="7:8" ht="15.75" customHeight="1">
      <c r="G335" s="207"/>
      <c r="H335" s="207"/>
    </row>
    <row r="336" spans="7:8" ht="15.75" customHeight="1">
      <c r="G336" s="207"/>
      <c r="H336" s="207"/>
    </row>
    <row r="337" spans="7:8" ht="15.75" customHeight="1">
      <c r="G337" s="207"/>
      <c r="H337" s="207"/>
    </row>
    <row r="338" spans="7:8" ht="15.75" customHeight="1">
      <c r="G338" s="207"/>
      <c r="H338" s="207"/>
    </row>
    <row r="339" spans="7:8" ht="15.75" customHeight="1">
      <c r="G339" s="207"/>
      <c r="H339" s="207"/>
    </row>
    <row r="340" spans="7:8" ht="15.75" customHeight="1">
      <c r="G340" s="207"/>
      <c r="H340" s="207"/>
    </row>
    <row r="341" spans="7:8" ht="15.75" customHeight="1">
      <c r="G341" s="207"/>
      <c r="H341" s="207"/>
    </row>
    <row r="342" spans="7:8" ht="15.75" customHeight="1">
      <c r="G342" s="207"/>
      <c r="H342" s="207"/>
    </row>
    <row r="343" spans="7:8" ht="15.75" customHeight="1">
      <c r="G343" s="207"/>
      <c r="H343" s="207"/>
    </row>
    <row r="344" spans="7:8" ht="15.75" customHeight="1">
      <c r="G344" s="207"/>
      <c r="H344" s="207"/>
    </row>
    <row r="345" spans="7:8" ht="15.75" customHeight="1">
      <c r="G345" s="207"/>
      <c r="H345" s="207"/>
    </row>
    <row r="346" spans="7:8" ht="15.75" customHeight="1">
      <c r="G346" s="207"/>
      <c r="H346" s="207"/>
    </row>
    <row r="347" spans="7:8" ht="15.75" customHeight="1">
      <c r="G347" s="207"/>
      <c r="H347" s="207"/>
    </row>
    <row r="348" spans="7:8" ht="15.75" customHeight="1">
      <c r="G348" s="207"/>
      <c r="H348" s="207"/>
    </row>
    <row r="349" spans="7:8" ht="15.75" customHeight="1">
      <c r="G349" s="207"/>
      <c r="H349" s="207"/>
    </row>
    <row r="350" spans="7:8" ht="15.75" customHeight="1">
      <c r="G350" s="207"/>
      <c r="H350" s="207"/>
    </row>
    <row r="351" spans="7:8" ht="15.75" customHeight="1">
      <c r="G351" s="207"/>
      <c r="H351" s="207"/>
    </row>
    <row r="352" spans="7:8" ht="15.75" customHeight="1">
      <c r="G352" s="207"/>
      <c r="H352" s="207"/>
    </row>
    <row r="353" spans="7:8" ht="15.75" customHeight="1">
      <c r="G353" s="207"/>
      <c r="H353" s="207"/>
    </row>
    <row r="354" spans="7:8" ht="15.75" customHeight="1">
      <c r="G354" s="207"/>
      <c r="H354" s="207"/>
    </row>
    <row r="355" spans="7:8" ht="15.75" customHeight="1">
      <c r="G355" s="207"/>
      <c r="H355" s="207"/>
    </row>
    <row r="356" spans="7:8" ht="15.75" customHeight="1">
      <c r="G356" s="207"/>
      <c r="H356" s="207"/>
    </row>
    <row r="357" spans="7:8" ht="15.75" customHeight="1">
      <c r="G357" s="207"/>
      <c r="H357" s="207"/>
    </row>
    <row r="358" spans="7:8" ht="15.75" customHeight="1">
      <c r="G358" s="207"/>
      <c r="H358" s="207"/>
    </row>
    <row r="359" spans="7:8" ht="15.75" customHeight="1">
      <c r="G359" s="207"/>
      <c r="H359" s="207"/>
    </row>
    <row r="360" spans="7:8" ht="15.75" customHeight="1">
      <c r="G360" s="207"/>
      <c r="H360" s="207"/>
    </row>
    <row r="361" spans="7:8" ht="15.75" customHeight="1">
      <c r="G361" s="207"/>
      <c r="H361" s="207"/>
    </row>
    <row r="362" spans="7:8" ht="15.75" customHeight="1">
      <c r="G362" s="207"/>
      <c r="H362" s="207"/>
    </row>
    <row r="363" spans="7:8" ht="15.75" customHeight="1">
      <c r="G363" s="207"/>
      <c r="H363" s="207"/>
    </row>
    <row r="364" spans="7:8" ht="15.75" customHeight="1">
      <c r="G364" s="207"/>
      <c r="H364" s="207"/>
    </row>
    <row r="365" spans="7:8" ht="15.75" customHeight="1">
      <c r="G365" s="207"/>
      <c r="H365" s="207"/>
    </row>
    <row r="366" spans="7:8" ht="15.75" customHeight="1">
      <c r="G366" s="207"/>
      <c r="H366" s="207"/>
    </row>
    <row r="367" spans="7:8" ht="15.75" customHeight="1">
      <c r="G367" s="207"/>
      <c r="H367" s="207"/>
    </row>
    <row r="368" spans="7:8" ht="15.75" customHeight="1">
      <c r="G368" s="207"/>
      <c r="H368" s="207"/>
    </row>
  </sheetData>
  <mergeCells count="505">
    <mergeCell ref="G48:H48"/>
    <mergeCell ref="G49:H49"/>
    <mergeCell ref="G50:H50"/>
    <mergeCell ref="G51:H51"/>
    <mergeCell ref="C48:E48"/>
    <mergeCell ref="C49:E49"/>
    <mergeCell ref="C50:E50"/>
    <mergeCell ref="C36:E36"/>
    <mergeCell ref="C37:E37"/>
    <mergeCell ref="G37:H37"/>
    <mergeCell ref="C38:E38"/>
    <mergeCell ref="G38:H38"/>
    <mergeCell ref="C39:E39"/>
    <mergeCell ref="C40:E40"/>
    <mergeCell ref="C41:E41"/>
    <mergeCell ref="G41:H41"/>
    <mergeCell ref="B5:C5"/>
    <mergeCell ref="A7:G7"/>
    <mergeCell ref="M8:M9"/>
    <mergeCell ref="N8:N9"/>
    <mergeCell ref="G9:G11"/>
    <mergeCell ref="H9:H11"/>
    <mergeCell ref="B9:F9"/>
    <mergeCell ref="B10:F10"/>
    <mergeCell ref="B11:F11"/>
    <mergeCell ref="A9:A11"/>
    <mergeCell ref="A34:I34"/>
    <mergeCell ref="A35:I35"/>
    <mergeCell ref="G36:H36"/>
    <mergeCell ref="G39:H39"/>
    <mergeCell ref="G40:H40"/>
    <mergeCell ref="C44:E44"/>
    <mergeCell ref="C45:E45"/>
    <mergeCell ref="C46:E46"/>
    <mergeCell ref="C47:E47"/>
    <mergeCell ref="C42:E42"/>
    <mergeCell ref="G42:H42"/>
    <mergeCell ref="C43:E43"/>
    <mergeCell ref="G43:H43"/>
    <mergeCell ref="G44:H44"/>
    <mergeCell ref="G45:H45"/>
    <mergeCell ref="G46:H46"/>
    <mergeCell ref="G47:H47"/>
    <mergeCell ref="C57:E57"/>
    <mergeCell ref="G57:H57"/>
    <mergeCell ref="G76:H76"/>
    <mergeCell ref="G77:H77"/>
    <mergeCell ref="G69:H69"/>
    <mergeCell ref="G70:H70"/>
    <mergeCell ref="G71:H71"/>
    <mergeCell ref="G72:H72"/>
    <mergeCell ref="G73:H73"/>
    <mergeCell ref="G74:H74"/>
    <mergeCell ref="G75:H75"/>
    <mergeCell ref="C58:E58"/>
    <mergeCell ref="G58:H58"/>
    <mergeCell ref="C59:E59"/>
    <mergeCell ref="G59:H59"/>
    <mergeCell ref="C60:E60"/>
    <mergeCell ref="G60:H60"/>
    <mergeCell ref="G61:H61"/>
    <mergeCell ref="C61:E61"/>
    <mergeCell ref="C62:E62"/>
    <mergeCell ref="C63:E63"/>
    <mergeCell ref="C64:E64"/>
    <mergeCell ref="C65:E65"/>
    <mergeCell ref="C66:E66"/>
    <mergeCell ref="G79:H79"/>
    <mergeCell ref="G80:H80"/>
    <mergeCell ref="C75:E75"/>
    <mergeCell ref="C76:E76"/>
    <mergeCell ref="C77:E77"/>
    <mergeCell ref="C78:E78"/>
    <mergeCell ref="G78:H78"/>
    <mergeCell ref="C79:E79"/>
    <mergeCell ref="C80:E80"/>
    <mergeCell ref="C84:E84"/>
    <mergeCell ref="C85:E85"/>
    <mergeCell ref="C86:E86"/>
    <mergeCell ref="C81:E81"/>
    <mergeCell ref="G81:H81"/>
    <mergeCell ref="C82:E82"/>
    <mergeCell ref="G82:H82"/>
    <mergeCell ref="C83:E83"/>
    <mergeCell ref="G83:H83"/>
    <mergeCell ref="G84:H84"/>
    <mergeCell ref="C89:E89"/>
    <mergeCell ref="C90:E90"/>
    <mergeCell ref="C91:E91"/>
    <mergeCell ref="G85:H85"/>
    <mergeCell ref="G86:H86"/>
    <mergeCell ref="C87:E87"/>
    <mergeCell ref="G87:H87"/>
    <mergeCell ref="C88:E88"/>
    <mergeCell ref="G88:H88"/>
    <mergeCell ref="G89:H89"/>
    <mergeCell ref="C94:E94"/>
    <mergeCell ref="C95:E95"/>
    <mergeCell ref="C96:E96"/>
    <mergeCell ref="G90:H90"/>
    <mergeCell ref="G91:H91"/>
    <mergeCell ref="C92:E92"/>
    <mergeCell ref="G92:H92"/>
    <mergeCell ref="C93:E93"/>
    <mergeCell ref="G93:H93"/>
    <mergeCell ref="G94:H94"/>
    <mergeCell ref="C99:E99"/>
    <mergeCell ref="C100:E100"/>
    <mergeCell ref="C101:E101"/>
    <mergeCell ref="G95:H95"/>
    <mergeCell ref="G96:H96"/>
    <mergeCell ref="C97:E97"/>
    <mergeCell ref="G97:H97"/>
    <mergeCell ref="C98:E98"/>
    <mergeCell ref="G98:H98"/>
    <mergeCell ref="G99:H99"/>
    <mergeCell ref="C104:E104"/>
    <mergeCell ref="C105:E105"/>
    <mergeCell ref="C106:E106"/>
    <mergeCell ref="G100:H100"/>
    <mergeCell ref="G101:H101"/>
    <mergeCell ref="C102:E102"/>
    <mergeCell ref="G102:H102"/>
    <mergeCell ref="C103:E103"/>
    <mergeCell ref="G103:H103"/>
    <mergeCell ref="G104:H104"/>
    <mergeCell ref="C109:E109"/>
    <mergeCell ref="C110:E110"/>
    <mergeCell ref="C111:E111"/>
    <mergeCell ref="G105:H105"/>
    <mergeCell ref="G106:H106"/>
    <mergeCell ref="C107:E107"/>
    <mergeCell ref="G107:H107"/>
    <mergeCell ref="C108:E108"/>
    <mergeCell ref="G108:H108"/>
    <mergeCell ref="G109:H109"/>
    <mergeCell ref="C114:E114"/>
    <mergeCell ref="C115:E115"/>
    <mergeCell ref="C116:E116"/>
    <mergeCell ref="G110:H110"/>
    <mergeCell ref="G111:H111"/>
    <mergeCell ref="C112:E112"/>
    <mergeCell ref="G112:H112"/>
    <mergeCell ref="C113:E113"/>
    <mergeCell ref="G113:H113"/>
    <mergeCell ref="G114:H114"/>
    <mergeCell ref="C119:E119"/>
    <mergeCell ref="C120:E120"/>
    <mergeCell ref="C121:E121"/>
    <mergeCell ref="G115:H115"/>
    <mergeCell ref="G116:H116"/>
    <mergeCell ref="C117:E117"/>
    <mergeCell ref="G117:H117"/>
    <mergeCell ref="C118:E118"/>
    <mergeCell ref="G118:H118"/>
    <mergeCell ref="G119:H119"/>
    <mergeCell ref="C124:E124"/>
    <mergeCell ref="C125:E125"/>
    <mergeCell ref="C126:E126"/>
    <mergeCell ref="G120:H120"/>
    <mergeCell ref="G121:H121"/>
    <mergeCell ref="C122:E122"/>
    <mergeCell ref="G122:H122"/>
    <mergeCell ref="C123:E123"/>
    <mergeCell ref="G123:H123"/>
    <mergeCell ref="G124:H124"/>
    <mergeCell ref="C164:E164"/>
    <mergeCell ref="C165:E165"/>
    <mergeCell ref="C166:E166"/>
    <mergeCell ref="G160:H160"/>
    <mergeCell ref="G161:H161"/>
    <mergeCell ref="C162:E162"/>
    <mergeCell ref="G162:H162"/>
    <mergeCell ref="C163:E163"/>
    <mergeCell ref="G163:H163"/>
    <mergeCell ref="G164:H164"/>
    <mergeCell ref="C169:E169"/>
    <mergeCell ref="C170:E170"/>
    <mergeCell ref="C171:E171"/>
    <mergeCell ref="G165:H165"/>
    <mergeCell ref="G166:H166"/>
    <mergeCell ref="C167:E167"/>
    <mergeCell ref="G167:H167"/>
    <mergeCell ref="C168:E168"/>
    <mergeCell ref="G168:H168"/>
    <mergeCell ref="G169:H169"/>
    <mergeCell ref="G55:H55"/>
    <mergeCell ref="G56:H56"/>
    <mergeCell ref="C51:E51"/>
    <mergeCell ref="C52:E52"/>
    <mergeCell ref="C53:E53"/>
    <mergeCell ref="C54:E54"/>
    <mergeCell ref="G54:H54"/>
    <mergeCell ref="C55:E55"/>
    <mergeCell ref="C56:E56"/>
    <mergeCell ref="G52:H52"/>
    <mergeCell ref="G53:H53"/>
    <mergeCell ref="C67:E67"/>
    <mergeCell ref="G62:H62"/>
    <mergeCell ref="G63:H63"/>
    <mergeCell ref="G64:H64"/>
    <mergeCell ref="G65:H65"/>
    <mergeCell ref="G66:H66"/>
    <mergeCell ref="G67:H67"/>
    <mergeCell ref="G68:H68"/>
    <mergeCell ref="C68:E68"/>
    <mergeCell ref="C69:E69"/>
    <mergeCell ref="C70:E70"/>
    <mergeCell ref="C71:E71"/>
    <mergeCell ref="C72:E72"/>
    <mergeCell ref="C73:E73"/>
    <mergeCell ref="C74:E74"/>
    <mergeCell ref="G170:H170"/>
    <mergeCell ref="G171:H171"/>
    <mergeCell ref="G172:H172"/>
    <mergeCell ref="G125:H125"/>
    <mergeCell ref="G126:H126"/>
    <mergeCell ref="C127:E127"/>
    <mergeCell ref="G127:H127"/>
    <mergeCell ref="C128:E128"/>
    <mergeCell ref="G128:H128"/>
    <mergeCell ref="G135:H135"/>
    <mergeCell ref="G136:H136"/>
    <mergeCell ref="C137:E137"/>
    <mergeCell ref="G137:H137"/>
    <mergeCell ref="C138:E138"/>
    <mergeCell ref="G138:H138"/>
    <mergeCell ref="G139:H139"/>
    <mergeCell ref="C144:E144"/>
    <mergeCell ref="C145:E145"/>
    <mergeCell ref="G173:H173"/>
    <mergeCell ref="G174:H174"/>
    <mergeCell ref="G175:H175"/>
    <mergeCell ref="G176:H176"/>
    <mergeCell ref="G177:H177"/>
    <mergeCell ref="G178:H178"/>
    <mergeCell ref="G179:H179"/>
    <mergeCell ref="G180:H180"/>
    <mergeCell ref="G181:H181"/>
    <mergeCell ref="G182:H182"/>
    <mergeCell ref="G183:H183"/>
    <mergeCell ref="G184:H184"/>
    <mergeCell ref="G185:H185"/>
    <mergeCell ref="G186:H186"/>
    <mergeCell ref="G187:H187"/>
    <mergeCell ref="G188:H188"/>
    <mergeCell ref="G189:H189"/>
    <mergeCell ref="G190:H190"/>
    <mergeCell ref="G191:H191"/>
    <mergeCell ref="G192:H192"/>
    <mergeCell ref="G193:H193"/>
    <mergeCell ref="G194:H194"/>
    <mergeCell ref="G195:H195"/>
    <mergeCell ref="G196:H196"/>
    <mergeCell ref="G197:H197"/>
    <mergeCell ref="G198:H198"/>
    <mergeCell ref="G199:H199"/>
    <mergeCell ref="G200:H200"/>
    <mergeCell ref="G201:H201"/>
    <mergeCell ref="G202:H202"/>
    <mergeCell ref="G203:H203"/>
    <mergeCell ref="G204:H204"/>
    <mergeCell ref="G205:H205"/>
    <mergeCell ref="G206:H206"/>
    <mergeCell ref="G207:H207"/>
    <mergeCell ref="G208:H208"/>
    <mergeCell ref="G209:H209"/>
    <mergeCell ref="G210:H210"/>
    <mergeCell ref="G211:H211"/>
    <mergeCell ref="G212:H212"/>
    <mergeCell ref="G213:H213"/>
    <mergeCell ref="G214:H214"/>
    <mergeCell ref="G215:H215"/>
    <mergeCell ref="G216:H216"/>
    <mergeCell ref="G217:H217"/>
    <mergeCell ref="G218:H218"/>
    <mergeCell ref="G219:H219"/>
    <mergeCell ref="G220:H220"/>
    <mergeCell ref="G221:H221"/>
    <mergeCell ref="G222:H222"/>
    <mergeCell ref="G223:H223"/>
    <mergeCell ref="G224:H224"/>
    <mergeCell ref="G225:H225"/>
    <mergeCell ref="G226:H226"/>
    <mergeCell ref="G227:H227"/>
    <mergeCell ref="G228:H228"/>
    <mergeCell ref="G229:H229"/>
    <mergeCell ref="G230:H230"/>
    <mergeCell ref="G231:H231"/>
    <mergeCell ref="G232:H232"/>
    <mergeCell ref="G233:H233"/>
    <mergeCell ref="G234:H234"/>
    <mergeCell ref="G235:H235"/>
    <mergeCell ref="G236:H236"/>
    <mergeCell ref="G237:H237"/>
    <mergeCell ref="G238:H238"/>
    <mergeCell ref="G239:H239"/>
    <mergeCell ref="G240:H240"/>
    <mergeCell ref="G241:H241"/>
    <mergeCell ref="G242:H242"/>
    <mergeCell ref="G243:H243"/>
    <mergeCell ref="G244:H244"/>
    <mergeCell ref="G245:H245"/>
    <mergeCell ref="G246:H246"/>
    <mergeCell ref="G247:H247"/>
    <mergeCell ref="G248:H248"/>
    <mergeCell ref="G249:H249"/>
    <mergeCell ref="G250:H250"/>
    <mergeCell ref="G251:H251"/>
    <mergeCell ref="G252:H252"/>
    <mergeCell ref="G253:H253"/>
    <mergeCell ref="G254:H254"/>
    <mergeCell ref="G255:H255"/>
    <mergeCell ref="G256:H256"/>
    <mergeCell ref="G257:H257"/>
    <mergeCell ref="G258:H258"/>
    <mergeCell ref="G259:H259"/>
    <mergeCell ref="G260:H260"/>
    <mergeCell ref="G261:H261"/>
    <mergeCell ref="G262:H262"/>
    <mergeCell ref="G263:H263"/>
    <mergeCell ref="G264:H264"/>
    <mergeCell ref="G265:H265"/>
    <mergeCell ref="G266:H266"/>
    <mergeCell ref="G267:H267"/>
    <mergeCell ref="G268:H268"/>
    <mergeCell ref="G269:H269"/>
    <mergeCell ref="G270:H270"/>
    <mergeCell ref="G271:H271"/>
    <mergeCell ref="G272:H272"/>
    <mergeCell ref="G273:H273"/>
    <mergeCell ref="G274:H274"/>
    <mergeCell ref="G324:H324"/>
    <mergeCell ref="G325:H325"/>
    <mergeCell ref="G326:H326"/>
    <mergeCell ref="G327:H327"/>
    <mergeCell ref="G328:H328"/>
    <mergeCell ref="G329:H329"/>
    <mergeCell ref="G275:H275"/>
    <mergeCell ref="G276:H276"/>
    <mergeCell ref="G277:H277"/>
    <mergeCell ref="G278:H278"/>
    <mergeCell ref="G279:H279"/>
    <mergeCell ref="G280:H280"/>
    <mergeCell ref="G281:H281"/>
    <mergeCell ref="G282:H282"/>
    <mergeCell ref="G283:H283"/>
    <mergeCell ref="G284:H284"/>
    <mergeCell ref="G285:H285"/>
    <mergeCell ref="G286:H286"/>
    <mergeCell ref="G287:H287"/>
    <mergeCell ref="G288:H288"/>
    <mergeCell ref="G289:H289"/>
    <mergeCell ref="G330:H330"/>
    <mergeCell ref="G331:H331"/>
    <mergeCell ref="G332:H332"/>
    <mergeCell ref="G333:H333"/>
    <mergeCell ref="G334:H334"/>
    <mergeCell ref="G335:H335"/>
    <mergeCell ref="G336:H336"/>
    <mergeCell ref="G337:H337"/>
    <mergeCell ref="G338:H338"/>
    <mergeCell ref="G339:H339"/>
    <mergeCell ref="G340:H340"/>
    <mergeCell ref="G341:H341"/>
    <mergeCell ref="G342:H342"/>
    <mergeCell ref="G343:H343"/>
    <mergeCell ref="G344:H344"/>
    <mergeCell ref="G345:H345"/>
    <mergeCell ref="G346:H346"/>
    <mergeCell ref="G347:H347"/>
    <mergeCell ref="G348:H348"/>
    <mergeCell ref="G349:H349"/>
    <mergeCell ref="G350:H350"/>
    <mergeCell ref="G351:H351"/>
    <mergeCell ref="G352:H352"/>
    <mergeCell ref="G353:H353"/>
    <mergeCell ref="G354:H354"/>
    <mergeCell ref="G355:H355"/>
    <mergeCell ref="G356:H356"/>
    <mergeCell ref="G357:H357"/>
    <mergeCell ref="G358:H358"/>
    <mergeCell ref="G366:H366"/>
    <mergeCell ref="G367:H367"/>
    <mergeCell ref="G368:H368"/>
    <mergeCell ref="G359:H359"/>
    <mergeCell ref="G360:H360"/>
    <mergeCell ref="G361:H361"/>
    <mergeCell ref="G362:H362"/>
    <mergeCell ref="G363:H363"/>
    <mergeCell ref="G364:H364"/>
    <mergeCell ref="G365:H365"/>
    <mergeCell ref="G290:H290"/>
    <mergeCell ref="G291:H291"/>
    <mergeCell ref="G292:H292"/>
    <mergeCell ref="G293:H293"/>
    <mergeCell ref="G294:H294"/>
    <mergeCell ref="G295:H295"/>
    <mergeCell ref="G296:H296"/>
    <mergeCell ref="G297:H297"/>
    <mergeCell ref="G298:H298"/>
    <mergeCell ref="G299:H299"/>
    <mergeCell ref="G300:H300"/>
    <mergeCell ref="G301:H301"/>
    <mergeCell ref="G302:H302"/>
    <mergeCell ref="G303:H303"/>
    <mergeCell ref="G304:H304"/>
    <mergeCell ref="G305:H305"/>
    <mergeCell ref="G306:H306"/>
    <mergeCell ref="G307:H307"/>
    <mergeCell ref="G308:H308"/>
    <mergeCell ref="G309:H309"/>
    <mergeCell ref="G310:H310"/>
    <mergeCell ref="G311:H311"/>
    <mergeCell ref="G312:H312"/>
    <mergeCell ref="G313:H313"/>
    <mergeCell ref="G314:H314"/>
    <mergeCell ref="G315:H315"/>
    <mergeCell ref="G316:H316"/>
    <mergeCell ref="G317:H317"/>
    <mergeCell ref="G318:H318"/>
    <mergeCell ref="G319:H319"/>
    <mergeCell ref="G320:H320"/>
    <mergeCell ref="G321:H321"/>
    <mergeCell ref="G322:H322"/>
    <mergeCell ref="G323:H323"/>
    <mergeCell ref="C129:E129"/>
    <mergeCell ref="C130:E130"/>
    <mergeCell ref="C131:E131"/>
    <mergeCell ref="G129:H129"/>
    <mergeCell ref="C134:E134"/>
    <mergeCell ref="C135:E135"/>
    <mergeCell ref="C136:E136"/>
    <mergeCell ref="G130:H130"/>
    <mergeCell ref="G131:H131"/>
    <mergeCell ref="C132:E132"/>
    <mergeCell ref="G132:H132"/>
    <mergeCell ref="C133:E133"/>
    <mergeCell ref="G133:H133"/>
    <mergeCell ref="G134:H134"/>
    <mergeCell ref="C139:E139"/>
    <mergeCell ref="C140:E140"/>
    <mergeCell ref="C141:E141"/>
    <mergeCell ref="G145:H145"/>
    <mergeCell ref="G146:H146"/>
    <mergeCell ref="C147:E147"/>
    <mergeCell ref="G147:H147"/>
    <mergeCell ref="C148:E148"/>
    <mergeCell ref="G148:H148"/>
    <mergeCell ref="G149:H149"/>
    <mergeCell ref="C146:E146"/>
    <mergeCell ref="G140:H140"/>
    <mergeCell ref="G141:H141"/>
    <mergeCell ref="C142:E142"/>
    <mergeCell ref="G142:H142"/>
    <mergeCell ref="C143:E143"/>
    <mergeCell ref="G143:H143"/>
    <mergeCell ref="G144:H144"/>
    <mergeCell ref="C149:E149"/>
    <mergeCell ref="C154:E154"/>
    <mergeCell ref="C155:E155"/>
    <mergeCell ref="C156:E156"/>
    <mergeCell ref="G150:H150"/>
    <mergeCell ref="G151:H151"/>
    <mergeCell ref="C152:E152"/>
    <mergeCell ref="G152:H152"/>
    <mergeCell ref="C153:E153"/>
    <mergeCell ref="G153:H153"/>
    <mergeCell ref="G154:H154"/>
    <mergeCell ref="C150:E150"/>
    <mergeCell ref="C151:E151"/>
    <mergeCell ref="C159:E159"/>
    <mergeCell ref="C160:E160"/>
    <mergeCell ref="C161:E161"/>
    <mergeCell ref="G155:H155"/>
    <mergeCell ref="G156:H156"/>
    <mergeCell ref="C157:E157"/>
    <mergeCell ref="G157:H157"/>
    <mergeCell ref="C158:E158"/>
    <mergeCell ref="G158:H158"/>
    <mergeCell ref="G159:H159"/>
    <mergeCell ref="C27:C28"/>
    <mergeCell ref="A2:N2"/>
    <mergeCell ref="A1:N1"/>
    <mergeCell ref="F27:F28"/>
    <mergeCell ref="D27:D28"/>
    <mergeCell ref="E27:E28"/>
    <mergeCell ref="E3:F3"/>
    <mergeCell ref="G27:H28"/>
    <mergeCell ref="J27:L32"/>
    <mergeCell ref="A13:A15"/>
    <mergeCell ref="C13:C15"/>
    <mergeCell ref="A17:A18"/>
    <mergeCell ref="B17:B18"/>
    <mergeCell ref="C17:C18"/>
    <mergeCell ref="B21:B22"/>
    <mergeCell ref="C21:C22"/>
    <mergeCell ref="A21:A22"/>
    <mergeCell ref="A27:A28"/>
    <mergeCell ref="B27:B28"/>
    <mergeCell ref="A24:B25"/>
    <mergeCell ref="G3:H3"/>
    <mergeCell ref="A4:A5"/>
    <mergeCell ref="B4:C4"/>
    <mergeCell ref="D4:F5"/>
  </mergeCells>
  <dataValidations count="1">
    <dataValidation type="list" allowBlank="1" showErrorMessage="1" sqref="G3" xr:uid="{00000000-0002-0000-0A00-000000000000}">
      <formula1>"STT,VS,HPRF RWS/TWS,RGH-PRF RWS/TWS,MPRF RWS/TWS"</formula1>
    </dataValidation>
  </dataValidations>
  <printOptions horizontalCentered="1"/>
  <pageMargins left="0.7" right="0.7" top="0.75" bottom="0.75" header="0" footer="0"/>
  <pageSetup fitToHeight="0" pageOrder="overThenDown"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K26"/>
  <sheetViews>
    <sheetView workbookViewId="0">
      <selection activeCell="J15" sqref="J15"/>
    </sheetView>
  </sheetViews>
  <sheetFormatPr defaultColWidth="12.5703125" defaultRowHeight="15.75" customHeight="1"/>
  <cols>
    <col min="1" max="1" width="21.42578125" customWidth="1"/>
    <col min="2" max="2" width="20" customWidth="1"/>
    <col min="3" max="3" width="7.42578125" customWidth="1"/>
    <col min="4" max="4" width="14.85546875" customWidth="1"/>
    <col min="5" max="5" width="1.42578125" customWidth="1"/>
    <col min="6" max="6" width="11.5703125" customWidth="1"/>
    <col min="7" max="7" width="4.42578125" customWidth="1"/>
    <col min="8" max="8" width="28.7109375" bestFit="1" customWidth="1"/>
  </cols>
  <sheetData>
    <row r="1" spans="1:11" ht="15.75" customHeight="1">
      <c r="A1" s="288" t="s">
        <v>189</v>
      </c>
      <c r="B1" s="207"/>
      <c r="C1" s="207"/>
      <c r="D1" s="207"/>
      <c r="E1" s="207"/>
      <c r="F1" s="207"/>
    </row>
    <row r="2" spans="1:11" ht="12.75">
      <c r="A2" s="18"/>
      <c r="B2" s="18"/>
      <c r="C2" s="18"/>
      <c r="D2" s="18"/>
      <c r="E2" s="18"/>
    </row>
    <row r="3" spans="1:11" ht="12.75">
      <c r="A3" s="289" t="s">
        <v>190</v>
      </c>
      <c r="B3" s="259"/>
      <c r="C3" s="259"/>
      <c r="D3" s="259"/>
      <c r="E3" s="259"/>
      <c r="F3" s="210"/>
      <c r="H3" s="63" t="s">
        <v>274</v>
      </c>
      <c r="I3" s="219" t="s">
        <v>429</v>
      </c>
      <c r="J3" s="219"/>
      <c r="K3" s="219"/>
    </row>
    <row r="4" spans="1:11" ht="12.75">
      <c r="A4" s="3" t="s">
        <v>191</v>
      </c>
      <c r="B4" s="21">
        <v>299792458</v>
      </c>
      <c r="C4" s="8" t="s">
        <v>192</v>
      </c>
      <c r="F4" s="4"/>
      <c r="H4" s="64" t="s">
        <v>275</v>
      </c>
      <c r="I4" s="219"/>
      <c r="J4" s="219"/>
      <c r="K4" s="219"/>
    </row>
    <row r="5" spans="1:11" ht="12.75">
      <c r="A5" s="3" t="s">
        <v>193</v>
      </c>
      <c r="B5" s="202">
        <v>0.91</v>
      </c>
      <c r="C5" s="8" t="s">
        <v>194</v>
      </c>
      <c r="D5" s="22"/>
      <c r="F5" s="4"/>
      <c r="H5" s="65" t="s">
        <v>276</v>
      </c>
      <c r="I5" s="219"/>
      <c r="J5" s="219"/>
      <c r="K5" s="219"/>
    </row>
    <row r="6" spans="1:11" ht="12.75">
      <c r="A6" s="3" t="s">
        <v>195</v>
      </c>
      <c r="B6" s="203">
        <v>3</v>
      </c>
      <c r="C6" s="9" t="s">
        <v>196</v>
      </c>
      <c r="D6" s="8"/>
      <c r="E6" s="8"/>
      <c r="F6" s="4"/>
    </row>
    <row r="7" spans="1:11" ht="12.75">
      <c r="A7" s="24"/>
      <c r="B7" s="11"/>
      <c r="C7" s="11"/>
      <c r="D7" s="11"/>
      <c r="E7" s="8"/>
      <c r="F7" s="4"/>
    </row>
    <row r="8" spans="1:11" ht="12.75">
      <c r="A8" s="290" t="s">
        <v>197</v>
      </c>
      <c r="B8" s="25" t="s">
        <v>198</v>
      </c>
      <c r="C8" s="291" t="s">
        <v>199</v>
      </c>
      <c r="D8" s="207"/>
      <c r="E8" s="207"/>
      <c r="F8" s="230"/>
    </row>
    <row r="9" spans="1:11" ht="12.75">
      <c r="A9" s="234"/>
      <c r="B9" s="10" t="s">
        <v>200</v>
      </c>
      <c r="C9" s="207"/>
      <c r="D9" s="207"/>
      <c r="E9" s="207"/>
      <c r="F9" s="230"/>
    </row>
    <row r="10" spans="1:11" ht="12.75">
      <c r="A10" s="26"/>
      <c r="B10" s="10"/>
      <c r="C10" s="11"/>
      <c r="D10" s="11"/>
      <c r="E10" s="11"/>
      <c r="F10" s="4"/>
    </row>
    <row r="11" spans="1:11" ht="12.75">
      <c r="A11" s="290" t="s">
        <v>197</v>
      </c>
      <c r="B11" s="25" t="s">
        <v>198</v>
      </c>
      <c r="C11" s="291" t="s">
        <v>201</v>
      </c>
      <c r="D11" s="207"/>
      <c r="E11" s="207"/>
      <c r="F11" s="230"/>
    </row>
    <row r="12" spans="1:11" ht="12.75">
      <c r="A12" s="216"/>
      <c r="B12" s="25" t="s">
        <v>202</v>
      </c>
      <c r="C12" s="284"/>
      <c r="D12" s="284"/>
      <c r="E12" s="284"/>
      <c r="F12" s="212"/>
    </row>
    <row r="13" spans="1:11" ht="12.75">
      <c r="A13" s="11"/>
      <c r="B13" s="11"/>
      <c r="C13" s="11"/>
      <c r="D13" s="11"/>
      <c r="E13" s="11"/>
    </row>
    <row r="14" spans="1:11" ht="12.75">
      <c r="A14" s="27"/>
      <c r="B14" s="27"/>
      <c r="C14" s="27"/>
      <c r="D14" s="27"/>
      <c r="E14" s="27"/>
      <c r="F14" s="27"/>
      <c r="G14" s="27"/>
    </row>
    <row r="15" spans="1:11" ht="12.75">
      <c r="A15" s="282" t="s">
        <v>203</v>
      </c>
      <c r="B15" s="259"/>
      <c r="C15" s="259"/>
      <c r="D15" s="259"/>
      <c r="E15" s="259"/>
      <c r="F15" s="259"/>
      <c r="G15" s="210"/>
    </row>
    <row r="16" spans="1:11" ht="12.75">
      <c r="A16" s="3"/>
      <c r="B16" s="286" t="s">
        <v>204</v>
      </c>
      <c r="C16" s="207"/>
      <c r="D16" s="207"/>
      <c r="E16" s="207"/>
      <c r="F16" s="207"/>
      <c r="G16" s="230"/>
    </row>
    <row r="17" spans="1:7" ht="12.75">
      <c r="A17" s="28" t="s">
        <v>205</v>
      </c>
      <c r="B17" s="29">
        <f>((1/1.025)*(($B$5*($B$6)/57.3))*($B$4/1000))</f>
        <v>13934.932283488699</v>
      </c>
      <c r="C17" s="30" t="s">
        <v>4</v>
      </c>
      <c r="D17" s="287" t="s">
        <v>206</v>
      </c>
      <c r="E17" s="207"/>
      <c r="F17" s="29">
        <f>((1/1.015)*(($B$5*$B$6)/57.3))*($B$4/1000)</f>
        <v>14072.222256725041</v>
      </c>
      <c r="G17" s="31" t="s">
        <v>4</v>
      </c>
    </row>
    <row r="18" spans="1:7" ht="12.75">
      <c r="A18" s="32" t="s">
        <v>197</v>
      </c>
      <c r="B18" s="33">
        <f>(B17/B4)*1000</f>
        <v>4.6481930787894268E-2</v>
      </c>
      <c r="C18" s="34" t="s">
        <v>194</v>
      </c>
      <c r="D18" s="284"/>
      <c r="E18" s="284"/>
      <c r="F18" s="33">
        <f>(F17/B4)*1000</f>
        <v>4.6939880844917861E-2</v>
      </c>
      <c r="G18" s="35" t="s">
        <v>194</v>
      </c>
    </row>
    <row r="19" spans="1:7" ht="12.75">
      <c r="A19" s="32" t="s">
        <v>207</v>
      </c>
      <c r="B19" s="283">
        <f>ROUND(((F17-B17)/2)+B17,-2)</f>
        <v>14000</v>
      </c>
      <c r="C19" s="284"/>
      <c r="D19" s="285" t="s">
        <v>4</v>
      </c>
      <c r="E19" s="284"/>
      <c r="F19" s="284"/>
      <c r="G19" s="212"/>
    </row>
    <row r="20" spans="1:7" ht="12.75">
      <c r="A20" s="36"/>
      <c r="B20" s="37"/>
      <c r="C20" s="38"/>
      <c r="D20" s="38"/>
      <c r="E20" s="38"/>
      <c r="F20" s="38"/>
      <c r="G20" s="38"/>
    </row>
    <row r="21" spans="1:7" ht="12.75">
      <c r="A21" s="36"/>
      <c r="B21" s="37"/>
      <c r="C21" s="38"/>
      <c r="D21" s="38"/>
      <c r="E21" s="38"/>
      <c r="F21" s="38"/>
      <c r="G21" s="38"/>
    </row>
    <row r="22" spans="1:7" ht="12.75">
      <c r="A22" s="282" t="s">
        <v>208</v>
      </c>
      <c r="B22" s="259"/>
      <c r="C22" s="259"/>
      <c r="D22" s="259"/>
      <c r="E22" s="259"/>
      <c r="F22" s="259"/>
      <c r="G22" s="210"/>
    </row>
    <row r="23" spans="1:7" ht="12.75">
      <c r="A23" s="3"/>
      <c r="B23" s="286" t="s">
        <v>204</v>
      </c>
      <c r="C23" s="207"/>
      <c r="D23" s="207"/>
      <c r="E23" s="207"/>
      <c r="F23" s="207"/>
      <c r="G23" s="230"/>
    </row>
    <row r="24" spans="1:7" ht="12.75">
      <c r="A24" s="28" t="s">
        <v>205</v>
      </c>
      <c r="B24" s="29">
        <f>((1/1.255)*(($B$5*($B$6)/57.3))*($B$4/1000))</f>
        <v>11381.119992490769</v>
      </c>
      <c r="C24" s="30" t="s">
        <v>4</v>
      </c>
      <c r="D24" s="287" t="s">
        <v>206</v>
      </c>
      <c r="E24" s="207"/>
      <c r="F24" s="29">
        <f>((1/1.245)*(($B$5*$B$6)/57.3))*($B$4/1000)</f>
        <v>11472.534610904348</v>
      </c>
      <c r="G24" s="31" t="s">
        <v>4</v>
      </c>
    </row>
    <row r="25" spans="1:7" ht="12.75">
      <c r="A25" s="32" t="s">
        <v>197</v>
      </c>
      <c r="B25" s="33">
        <f>(B24/$B$4)*1000</f>
        <v>3.7963329926367827E-2</v>
      </c>
      <c r="C25" s="34" t="s">
        <v>194</v>
      </c>
      <c r="D25" s="284"/>
      <c r="E25" s="284"/>
      <c r="F25" s="33">
        <f>(F24/$B$4)*1000</f>
        <v>3.8268256271157923E-2</v>
      </c>
      <c r="G25" s="35" t="s">
        <v>194</v>
      </c>
    </row>
    <row r="26" spans="1:7" ht="12.75">
      <c r="A26" s="32" t="s">
        <v>207</v>
      </c>
      <c r="B26" s="283">
        <f>ROUND(((F24-B24)/2)+B24,-2)</f>
        <v>11400</v>
      </c>
      <c r="C26" s="284"/>
      <c r="D26" s="285" t="s">
        <v>4</v>
      </c>
      <c r="E26" s="284"/>
      <c r="F26" s="284"/>
      <c r="G26" s="212"/>
    </row>
  </sheetData>
  <mergeCells count="17">
    <mergeCell ref="A1:F1"/>
    <mergeCell ref="A3:F3"/>
    <mergeCell ref="A8:A9"/>
    <mergeCell ref="C8:F9"/>
    <mergeCell ref="A11:A12"/>
    <mergeCell ref="C11:F12"/>
    <mergeCell ref="I3:K5"/>
    <mergeCell ref="A15:G15"/>
    <mergeCell ref="B26:C26"/>
    <mergeCell ref="D26:G26"/>
    <mergeCell ref="B16:G16"/>
    <mergeCell ref="D17:E18"/>
    <mergeCell ref="B19:C19"/>
    <mergeCell ref="D19:G19"/>
    <mergeCell ref="A22:G22"/>
    <mergeCell ref="B23:G23"/>
    <mergeCell ref="D24:E25"/>
  </mergeCells>
  <printOptions horizontalCentered="1"/>
  <pageMargins left="0.25" right="0.25" top="0.75" bottom="0.75" header="0" footer="0"/>
  <pageSetup fitToHeight="0" pageOrder="overThenDown"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995AD-C542-470D-B6B9-34DC9C78ACA4}">
  <dimension ref="A1:G34"/>
  <sheetViews>
    <sheetView workbookViewId="0">
      <selection activeCell="G36" sqref="G36"/>
    </sheetView>
  </sheetViews>
  <sheetFormatPr defaultRowHeight="12.75"/>
  <cols>
    <col min="1" max="1" width="30.42578125" style="177" bestFit="1" customWidth="1"/>
    <col min="2" max="2" width="8" customWidth="1"/>
    <col min="3" max="3" width="14" bestFit="1" customWidth="1"/>
    <col min="5" max="5" width="64.85546875" bestFit="1" customWidth="1"/>
    <col min="6" max="6" width="23" bestFit="1" customWidth="1"/>
    <col min="7" max="7" width="95" bestFit="1" customWidth="1"/>
  </cols>
  <sheetData>
    <row r="1" spans="1:7">
      <c r="A1" s="200" t="s">
        <v>0</v>
      </c>
      <c r="B1" s="191"/>
      <c r="C1" s="191"/>
      <c r="D1" s="191"/>
      <c r="E1" s="191" t="s">
        <v>1</v>
      </c>
      <c r="F1" s="191"/>
      <c r="G1" s="192" t="s">
        <v>2</v>
      </c>
    </row>
    <row r="2" spans="1:7">
      <c r="A2" s="178" t="s">
        <v>3</v>
      </c>
      <c r="B2" s="198">
        <v>9750</v>
      </c>
      <c r="C2" s="176" t="s">
        <v>4</v>
      </c>
      <c r="G2" s="179"/>
    </row>
    <row r="3" spans="1:7">
      <c r="A3" s="178" t="s">
        <v>5</v>
      </c>
      <c r="B3" s="198">
        <v>3.1</v>
      </c>
      <c r="C3" s="176" t="s">
        <v>6</v>
      </c>
      <c r="E3" t="s">
        <v>7</v>
      </c>
      <c r="G3" s="179"/>
    </row>
    <row r="4" spans="1:7">
      <c r="A4" s="178" t="s">
        <v>41</v>
      </c>
      <c r="B4" s="198">
        <v>81</v>
      </c>
      <c r="C4" s="176" t="s">
        <v>6</v>
      </c>
      <c r="G4" s="179"/>
    </row>
    <row r="5" spans="1:7">
      <c r="A5" s="178" t="s">
        <v>42</v>
      </c>
      <c r="B5" s="198">
        <v>274</v>
      </c>
      <c r="C5" s="176" t="s">
        <v>6</v>
      </c>
      <c r="G5" s="179"/>
    </row>
    <row r="6" spans="1:7">
      <c r="A6" s="178" t="s">
        <v>8</v>
      </c>
      <c r="B6" s="198">
        <v>22</v>
      </c>
      <c r="C6" s="176" t="s">
        <v>9</v>
      </c>
      <c r="E6" t="s">
        <v>10</v>
      </c>
      <c r="F6" t="s">
        <v>11</v>
      </c>
      <c r="G6" s="179" t="s">
        <v>12</v>
      </c>
    </row>
    <row r="7" spans="1:7">
      <c r="A7" s="178" t="s">
        <v>13</v>
      </c>
      <c r="B7" s="198">
        <v>70</v>
      </c>
      <c r="C7" s="176" t="s">
        <v>14</v>
      </c>
      <c r="E7" t="s">
        <v>15</v>
      </c>
      <c r="G7" s="179" t="s">
        <v>16</v>
      </c>
    </row>
    <row r="8" spans="1:7">
      <c r="A8" s="178"/>
      <c r="C8" s="176"/>
      <c r="G8" s="179"/>
    </row>
    <row r="9" spans="1:7">
      <c r="A9" s="201" t="s">
        <v>17</v>
      </c>
      <c r="C9" s="176"/>
      <c r="G9" s="179"/>
    </row>
    <row r="10" spans="1:7">
      <c r="A10" s="178" t="s">
        <v>43</v>
      </c>
      <c r="B10" s="309">
        <f>(1.02*($B$3/$B$4))*57.3</f>
        <v>2.236822222222222</v>
      </c>
      <c r="C10" s="176" t="s">
        <v>18</v>
      </c>
      <c r="E10" t="s">
        <v>19</v>
      </c>
      <c r="G10" s="179" t="s">
        <v>20</v>
      </c>
    </row>
    <row r="11" spans="1:7">
      <c r="A11" s="178" t="s">
        <v>21</v>
      </c>
      <c r="B11" s="309">
        <f>(2.27*($B$3/$B$4))*57.3</f>
        <v>4.9780259259259259</v>
      </c>
      <c r="C11" s="176" t="s">
        <v>18</v>
      </c>
      <c r="E11" t="s">
        <v>22</v>
      </c>
      <c r="G11" s="179" t="s">
        <v>20</v>
      </c>
    </row>
    <row r="12" spans="1:7">
      <c r="A12" s="178" t="s">
        <v>44</v>
      </c>
      <c r="B12" s="309">
        <f>(1.02*($B$3/$B$5))*57.3</f>
        <v>0.66125036496350365</v>
      </c>
      <c r="C12" s="176" t="s">
        <v>18</v>
      </c>
      <c r="E12" t="s">
        <v>19</v>
      </c>
      <c r="G12" s="179" t="s">
        <v>20</v>
      </c>
    </row>
    <row r="13" spans="1:7">
      <c r="A13" s="178" t="s">
        <v>21</v>
      </c>
      <c r="B13" s="309">
        <f>(2.27*($B$3/$B$5))*57.3</f>
        <v>1.4716062043795619</v>
      </c>
      <c r="C13" s="176" t="s">
        <v>18</v>
      </c>
      <c r="E13" t="s">
        <v>22</v>
      </c>
      <c r="G13" s="179" t="s">
        <v>20</v>
      </c>
    </row>
    <row r="14" spans="1:7">
      <c r="A14" s="178" t="s">
        <v>23</v>
      </c>
      <c r="B14" s="309">
        <f>10*LOG10((52525*(B7/100))/($B$10*$B$12))</f>
        <v>43.954667076641243</v>
      </c>
      <c r="C14" s="176" t="s">
        <v>24</v>
      </c>
      <c r="E14" t="s">
        <v>45</v>
      </c>
      <c r="G14" s="179"/>
    </row>
    <row r="15" spans="1:7">
      <c r="A15" s="178" t="s">
        <v>26</v>
      </c>
      <c r="B15" s="309">
        <f>B14-B6</f>
        <v>21.954667076641243</v>
      </c>
      <c r="C15" s="176" t="s">
        <v>24</v>
      </c>
      <c r="E15" t="s">
        <v>27</v>
      </c>
      <c r="G15" s="179"/>
    </row>
    <row r="16" spans="1:7">
      <c r="A16" s="178"/>
      <c r="B16" s="310"/>
      <c r="C16" s="176"/>
      <c r="G16" s="179"/>
    </row>
    <row r="17" spans="1:7">
      <c r="A17" s="201" t="s">
        <v>28</v>
      </c>
      <c r="B17" s="310"/>
      <c r="C17" s="176"/>
      <c r="G17" s="179"/>
    </row>
    <row r="18" spans="1:7">
      <c r="A18" s="178" t="s">
        <v>43</v>
      </c>
      <c r="B18" s="311">
        <f>(1.25*($B$3/$B$4))*57.3</f>
        <v>2.7412037037037038</v>
      </c>
      <c r="C18" s="176" t="s">
        <v>18</v>
      </c>
      <c r="E18" t="s">
        <v>29</v>
      </c>
      <c r="G18" s="179" t="s">
        <v>30</v>
      </c>
    </row>
    <row r="19" spans="1:7">
      <c r="A19" s="178" t="s">
        <v>31</v>
      </c>
      <c r="B19" s="311">
        <f>(2.7816*($B$3/$B$4))*57.3</f>
        <v>6.0999457777777772</v>
      </c>
      <c r="C19" s="176" t="s">
        <v>18</v>
      </c>
      <c r="E19" t="s">
        <v>32</v>
      </c>
      <c r="G19" s="179" t="s">
        <v>33</v>
      </c>
    </row>
    <row r="20" spans="1:7">
      <c r="A20" s="178" t="s">
        <v>44</v>
      </c>
      <c r="B20" s="311">
        <f>(1.25*($B$3/$B$5))*57.3</f>
        <v>0.81035583941605838</v>
      </c>
      <c r="C20" s="176" t="s">
        <v>18</v>
      </c>
      <c r="E20" t="s">
        <v>29</v>
      </c>
      <c r="G20" s="179" t="s">
        <v>30</v>
      </c>
    </row>
    <row r="21" spans="1:7">
      <c r="A21" s="178" t="s">
        <v>31</v>
      </c>
      <c r="B21" s="311">
        <f>(2.7816*($B$3/$B$5))*57.3</f>
        <v>1.8032686423357662</v>
      </c>
      <c r="C21" s="176" t="s">
        <v>18</v>
      </c>
      <c r="E21" t="s">
        <v>32</v>
      </c>
      <c r="G21" s="179" t="s">
        <v>33</v>
      </c>
    </row>
    <row r="22" spans="1:7">
      <c r="A22" s="178" t="s">
        <v>23</v>
      </c>
      <c r="B22" s="311">
        <f>10*LOG10((52525*(B7/100))/($B$18*$B$20))</f>
        <v>42.188470251718464</v>
      </c>
      <c r="C22" s="176" t="s">
        <v>24</v>
      </c>
      <c r="E22" t="s">
        <v>45</v>
      </c>
      <c r="G22" s="179" t="s">
        <v>421</v>
      </c>
    </row>
    <row r="23" spans="1:7">
      <c r="A23" s="180" t="s">
        <v>34</v>
      </c>
      <c r="B23" s="308">
        <f>B22-30</f>
        <v>12.188470251718464</v>
      </c>
      <c r="C23" s="181" t="s">
        <v>24</v>
      </c>
      <c r="D23" s="182"/>
      <c r="E23" s="182" t="s">
        <v>35</v>
      </c>
      <c r="F23" s="182"/>
      <c r="G23" s="183" t="s">
        <v>422</v>
      </c>
    </row>
    <row r="24" spans="1:7">
      <c r="C24" s="176"/>
    </row>
    <row r="25" spans="1:7">
      <c r="A25" s="292" t="s">
        <v>36</v>
      </c>
      <c r="B25" s="293"/>
      <c r="C25" s="293"/>
      <c r="D25" s="293"/>
      <c r="E25" s="294"/>
    </row>
    <row r="26" spans="1:7">
      <c r="A26" s="178" t="s">
        <v>37</v>
      </c>
      <c r="B26" s="199">
        <v>2.5</v>
      </c>
      <c r="C26" s="176" t="s">
        <v>38</v>
      </c>
      <c r="E26" s="179"/>
    </row>
    <row r="27" spans="1:7">
      <c r="A27" s="178" t="s">
        <v>39</v>
      </c>
      <c r="B27" s="199">
        <v>2.5</v>
      </c>
      <c r="C27" s="176" t="s">
        <v>38</v>
      </c>
      <c r="E27" s="179"/>
    </row>
    <row r="28" spans="1:7">
      <c r="A28" s="180" t="s">
        <v>40</v>
      </c>
      <c r="B28" s="308">
        <f>10*LOG10((52525*(B7/100))/(B26*B27))</f>
        <v>37.695840837481718</v>
      </c>
      <c r="C28" s="181" t="s">
        <v>24</v>
      </c>
      <c r="D28" s="182"/>
      <c r="E28" s="183" t="s">
        <v>45</v>
      </c>
    </row>
    <row r="32" spans="1:7">
      <c r="A32" s="63" t="s">
        <v>274</v>
      </c>
      <c r="B32" s="219" t="s">
        <v>429</v>
      </c>
      <c r="C32" s="219"/>
      <c r="D32" s="219"/>
    </row>
    <row r="33" spans="1:4">
      <c r="A33" s="64" t="s">
        <v>275</v>
      </c>
      <c r="B33" s="219"/>
      <c r="C33" s="219"/>
      <c r="D33" s="219"/>
    </row>
    <row r="34" spans="1:4">
      <c r="A34" s="65" t="s">
        <v>276</v>
      </c>
      <c r="B34" s="219"/>
      <c r="C34" s="219"/>
      <c r="D34" s="219"/>
    </row>
  </sheetData>
  <mergeCells count="2">
    <mergeCell ref="A25:E25"/>
    <mergeCell ref="B32:D34"/>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pageSetUpPr fitToPage="1"/>
  </sheetPr>
  <dimension ref="A1:H51"/>
  <sheetViews>
    <sheetView workbookViewId="0">
      <selection activeCell="F26" sqref="F26"/>
    </sheetView>
  </sheetViews>
  <sheetFormatPr defaultColWidth="12.5703125" defaultRowHeight="15.75" customHeight="1"/>
  <cols>
    <col min="1" max="1" width="54.85546875" customWidth="1"/>
    <col min="2" max="2" width="8" customWidth="1"/>
    <col min="3" max="3" width="10" customWidth="1"/>
    <col min="4" max="4" width="12.5703125" customWidth="1"/>
    <col min="5" max="5" width="5.7109375" customWidth="1"/>
    <col min="6" max="6" width="53.85546875" customWidth="1"/>
    <col min="7" max="7" width="14.42578125" customWidth="1"/>
  </cols>
  <sheetData>
    <row r="1" spans="1:7" ht="15.75" customHeight="1">
      <c r="A1" s="295" t="s">
        <v>296</v>
      </c>
      <c r="B1" s="207"/>
      <c r="C1" s="207"/>
      <c r="D1" s="207"/>
      <c r="E1" s="207"/>
      <c r="F1" s="207"/>
    </row>
    <row r="2" spans="1:7" ht="12.75">
      <c r="B2" s="27" t="s">
        <v>297</v>
      </c>
      <c r="C2" s="27" t="s">
        <v>298</v>
      </c>
      <c r="D2" s="2" t="s">
        <v>299</v>
      </c>
      <c r="E2" s="2"/>
      <c r="F2" s="2" t="s">
        <v>300</v>
      </c>
    </row>
    <row r="3" spans="1:7" ht="12.75">
      <c r="A3" s="2" t="s">
        <v>301</v>
      </c>
      <c r="B3" s="11" t="s">
        <v>302</v>
      </c>
      <c r="C3" s="11" t="s">
        <v>303</v>
      </c>
      <c r="D3" s="23"/>
      <c r="E3" s="5" t="s">
        <v>46</v>
      </c>
      <c r="F3" s="5" t="s">
        <v>304</v>
      </c>
      <c r="G3" s="5"/>
    </row>
    <row r="4" spans="1:7" ht="12.75">
      <c r="A4" s="2" t="s">
        <v>305</v>
      </c>
      <c r="B4" s="11"/>
      <c r="C4" s="197" t="s">
        <v>437</v>
      </c>
      <c r="D4" s="23"/>
      <c r="E4" s="5" t="s">
        <v>46</v>
      </c>
      <c r="F4" s="5" t="s">
        <v>306</v>
      </c>
      <c r="G4" s="5"/>
    </row>
    <row r="5" spans="1:7" ht="12.75">
      <c r="A5" s="2" t="s">
        <v>307</v>
      </c>
      <c r="B5" s="11" t="s">
        <v>302</v>
      </c>
      <c r="C5" s="10" t="s">
        <v>308</v>
      </c>
      <c r="D5" s="23"/>
      <c r="E5" s="5" t="s">
        <v>46</v>
      </c>
      <c r="F5" s="5" t="s">
        <v>309</v>
      </c>
      <c r="G5" s="5"/>
    </row>
    <row r="6" spans="1:7" ht="12.75">
      <c r="A6" s="82"/>
      <c r="B6" s="83"/>
      <c r="C6" s="83"/>
      <c r="D6" s="84"/>
      <c r="E6" s="85"/>
      <c r="F6" s="86"/>
      <c r="G6" s="5"/>
    </row>
    <row r="7" spans="1:7" ht="12.75">
      <c r="A7" s="2" t="s">
        <v>310</v>
      </c>
      <c r="B7" s="11" t="s">
        <v>302</v>
      </c>
      <c r="C7" s="11" t="s">
        <v>311</v>
      </c>
      <c r="D7" s="23">
        <v>11.5</v>
      </c>
      <c r="E7" s="5" t="s">
        <v>46</v>
      </c>
      <c r="F7" s="5" t="s">
        <v>312</v>
      </c>
      <c r="G7" s="5"/>
    </row>
    <row r="8" spans="1:7" ht="12.75">
      <c r="A8" s="2" t="s">
        <v>313</v>
      </c>
      <c r="B8" s="11" t="s">
        <v>302</v>
      </c>
      <c r="C8" s="10" t="s">
        <v>308</v>
      </c>
      <c r="D8" s="23"/>
      <c r="E8" s="5" t="s">
        <v>46</v>
      </c>
      <c r="F8" s="5" t="s">
        <v>314</v>
      </c>
      <c r="G8" s="5"/>
    </row>
    <row r="9" spans="1:7" ht="12.75">
      <c r="A9" s="82"/>
      <c r="B9" s="83"/>
      <c r="C9" s="83"/>
      <c r="D9" s="84"/>
      <c r="E9" s="85"/>
      <c r="F9" s="86"/>
      <c r="G9" s="5"/>
    </row>
    <row r="10" spans="1:7" ht="12.75">
      <c r="A10" s="2" t="s">
        <v>315</v>
      </c>
      <c r="B10" s="11" t="s">
        <v>302</v>
      </c>
      <c r="C10" s="11"/>
      <c r="D10" s="87"/>
      <c r="E10" s="88" t="s">
        <v>46</v>
      </c>
      <c r="F10" s="89" t="s">
        <v>316</v>
      </c>
      <c r="G10" s="5"/>
    </row>
    <row r="11" spans="1:7" ht="12.75">
      <c r="A11" s="2" t="s">
        <v>317</v>
      </c>
      <c r="B11" s="11">
        <v>0.5</v>
      </c>
      <c r="C11" s="11">
        <v>0.5</v>
      </c>
      <c r="D11" s="23">
        <v>1</v>
      </c>
      <c r="E11" s="5" t="s">
        <v>46</v>
      </c>
      <c r="F11" s="5"/>
      <c r="G11" s="5"/>
    </row>
    <row r="12" spans="1:7" ht="12.75">
      <c r="A12" s="2" t="s">
        <v>318</v>
      </c>
      <c r="B12" s="11">
        <v>0.5</v>
      </c>
      <c r="C12" s="11">
        <v>0.5</v>
      </c>
      <c r="D12" s="23">
        <v>1</v>
      </c>
      <c r="E12" s="5" t="s">
        <v>46</v>
      </c>
      <c r="F12" s="5" t="s">
        <v>319</v>
      </c>
      <c r="G12" s="5"/>
    </row>
    <row r="13" spans="1:7" ht="12.75">
      <c r="A13" s="2" t="s">
        <v>320</v>
      </c>
      <c r="B13" s="11" t="s">
        <v>321</v>
      </c>
      <c r="C13" s="11" t="s">
        <v>321</v>
      </c>
      <c r="D13" s="23">
        <v>0</v>
      </c>
      <c r="E13" s="5" t="s">
        <v>46</v>
      </c>
      <c r="F13" s="5" t="s">
        <v>322</v>
      </c>
      <c r="G13" s="5"/>
    </row>
    <row r="14" spans="1:7" ht="12.75">
      <c r="A14" s="2" t="s">
        <v>323</v>
      </c>
      <c r="B14" s="11">
        <v>0.3</v>
      </c>
      <c r="C14" s="11">
        <v>0.3</v>
      </c>
      <c r="D14" s="23">
        <v>0</v>
      </c>
      <c r="E14" s="5" t="s">
        <v>46</v>
      </c>
      <c r="F14" s="5" t="s">
        <v>322</v>
      </c>
      <c r="G14" s="5"/>
    </row>
    <row r="15" spans="1:7" ht="12.75">
      <c r="A15" s="2" t="s">
        <v>324</v>
      </c>
      <c r="B15" s="11">
        <v>0.3</v>
      </c>
      <c r="C15" s="11">
        <v>0.3</v>
      </c>
      <c r="D15" s="23">
        <v>0</v>
      </c>
      <c r="E15" s="5" t="s">
        <v>46</v>
      </c>
      <c r="F15" s="5" t="s">
        <v>322</v>
      </c>
      <c r="G15" s="5"/>
    </row>
    <row r="16" spans="1:7" ht="12.75">
      <c r="A16" s="2" t="s">
        <v>325</v>
      </c>
      <c r="B16" s="11" t="s">
        <v>326</v>
      </c>
      <c r="C16" s="11" t="s">
        <v>326</v>
      </c>
      <c r="D16" s="23">
        <v>1</v>
      </c>
      <c r="E16" s="5" t="s">
        <v>46</v>
      </c>
      <c r="F16" s="5" t="s">
        <v>327</v>
      </c>
      <c r="G16" s="5" t="s">
        <v>328</v>
      </c>
    </row>
    <row r="17" spans="1:8" ht="12.75">
      <c r="A17" s="2" t="s">
        <v>329</v>
      </c>
      <c r="B17" s="11" t="s">
        <v>302</v>
      </c>
      <c r="C17" s="11" t="s">
        <v>303</v>
      </c>
      <c r="D17" s="23">
        <v>0.8</v>
      </c>
      <c r="E17" s="5" t="s">
        <v>46</v>
      </c>
      <c r="F17" s="5"/>
      <c r="G17" s="5"/>
    </row>
    <row r="18" spans="1:8" ht="12.75">
      <c r="A18" s="2" t="s">
        <v>330</v>
      </c>
      <c r="B18" s="11" t="s">
        <v>302</v>
      </c>
      <c r="C18" s="11">
        <v>2</v>
      </c>
      <c r="D18" s="23">
        <v>2</v>
      </c>
      <c r="E18" s="5" t="s">
        <v>46</v>
      </c>
      <c r="F18" s="5"/>
      <c r="G18" s="5"/>
    </row>
    <row r="19" spans="1:8" ht="12.75">
      <c r="A19" s="2" t="s">
        <v>331</v>
      </c>
      <c r="B19" s="11" t="s">
        <v>302</v>
      </c>
      <c r="C19" s="11">
        <v>3</v>
      </c>
      <c r="D19" s="23">
        <v>3</v>
      </c>
      <c r="E19" s="5" t="s">
        <v>46</v>
      </c>
      <c r="F19" s="5"/>
      <c r="G19" s="5"/>
    </row>
    <row r="20" spans="1:8" ht="12.75">
      <c r="A20" s="2" t="s">
        <v>332</v>
      </c>
      <c r="B20" s="10" t="s">
        <v>333</v>
      </c>
      <c r="C20" s="11">
        <v>3.0000000000000001E-3</v>
      </c>
      <c r="D20" s="23">
        <f>C20*G20</f>
        <v>0.24</v>
      </c>
      <c r="E20" s="5" t="s">
        <v>46</v>
      </c>
      <c r="F20" s="5" t="s">
        <v>334</v>
      </c>
      <c r="G20" s="5">
        <v>80</v>
      </c>
      <c r="H20" s="8" t="s">
        <v>335</v>
      </c>
    </row>
    <row r="21" spans="1:8" ht="12.75">
      <c r="B21" s="11"/>
      <c r="C21" s="27" t="s">
        <v>336</v>
      </c>
      <c r="D21" s="30">
        <f>SUM(D3:D20)</f>
        <v>20.54</v>
      </c>
      <c r="E21" s="5" t="s">
        <v>46</v>
      </c>
      <c r="F21" s="115" t="s">
        <v>438</v>
      </c>
      <c r="G21" s="5"/>
    </row>
    <row r="24" spans="1:8" ht="15.75" customHeight="1">
      <c r="A24" s="63" t="s">
        <v>274</v>
      </c>
      <c r="B24" s="219" t="s">
        <v>429</v>
      </c>
      <c r="C24" s="219"/>
      <c r="D24" s="219"/>
    </row>
    <row r="25" spans="1:8" ht="15.75" customHeight="1">
      <c r="A25" s="64" t="s">
        <v>275</v>
      </c>
      <c r="B25" s="219"/>
      <c r="C25" s="219"/>
      <c r="D25" s="219"/>
    </row>
    <row r="26" spans="1:8" ht="15.75" customHeight="1">
      <c r="A26" s="65" t="s">
        <v>276</v>
      </c>
      <c r="B26" s="219"/>
      <c r="C26" s="219"/>
      <c r="D26" s="219"/>
    </row>
    <row r="46" spans="2:5" ht="12.75">
      <c r="B46" s="8" t="s">
        <v>337</v>
      </c>
      <c r="C46" s="8" t="s">
        <v>338</v>
      </c>
      <c r="D46" s="8" t="s">
        <v>339</v>
      </c>
      <c r="E46" s="8" t="s">
        <v>340</v>
      </c>
    </row>
    <row r="47" spans="2:5" ht="12.75">
      <c r="B47" s="8" t="s">
        <v>341</v>
      </c>
      <c r="C47" s="8">
        <v>1.5</v>
      </c>
      <c r="D47" s="8">
        <v>12</v>
      </c>
      <c r="E47" s="8">
        <v>11</v>
      </c>
    </row>
    <row r="48" spans="2:5" ht="12.75">
      <c r="B48" s="8" t="s">
        <v>342</v>
      </c>
      <c r="D48" s="8">
        <v>15.5</v>
      </c>
      <c r="E48" s="8">
        <v>11.25</v>
      </c>
    </row>
    <row r="49" spans="2:5" ht="12.75">
      <c r="B49" s="8" t="s">
        <v>343</v>
      </c>
      <c r="D49" s="8">
        <v>19.5</v>
      </c>
      <c r="E49" s="8">
        <v>11.5</v>
      </c>
    </row>
    <row r="50" spans="2:5" ht="12.75">
      <c r="B50" s="8" t="s">
        <v>344</v>
      </c>
      <c r="D50" s="8">
        <v>22.5</v>
      </c>
      <c r="E50" s="8">
        <v>12.6</v>
      </c>
    </row>
    <row r="51" spans="2:5" ht="12.75">
      <c r="B51" s="8" t="s">
        <v>345</v>
      </c>
      <c r="D51" s="8">
        <v>26.5</v>
      </c>
      <c r="E51" s="8">
        <v>13.1</v>
      </c>
    </row>
  </sheetData>
  <mergeCells count="2">
    <mergeCell ref="A1:F1"/>
    <mergeCell ref="B24:D26"/>
  </mergeCells>
  <printOptions horizontalCentered="1"/>
  <pageMargins left="0.25" right="0.25" top="0.75" bottom="0.75" header="0" footer="0"/>
  <pageSetup fitToHeight="0" pageOrder="overThenDown"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pageSetUpPr fitToPage="1"/>
  </sheetPr>
  <dimension ref="A1:P29"/>
  <sheetViews>
    <sheetView workbookViewId="0">
      <selection activeCell="B6" sqref="B6"/>
    </sheetView>
  </sheetViews>
  <sheetFormatPr defaultColWidth="12.5703125" defaultRowHeight="15.75" customHeight="1"/>
  <cols>
    <col min="1" max="1" width="28.5703125" customWidth="1"/>
    <col min="3" max="3" width="11.85546875" customWidth="1"/>
    <col min="4" max="4" width="9.5703125" customWidth="1"/>
    <col min="5" max="5" width="20.7109375" customWidth="1"/>
    <col min="6" max="6" width="35.85546875" customWidth="1"/>
  </cols>
  <sheetData>
    <row r="1" spans="1:16" ht="12.75">
      <c r="A1" s="296" t="s">
        <v>351</v>
      </c>
      <c r="B1" s="261"/>
      <c r="C1" s="262"/>
    </row>
    <row r="2" spans="1:16" ht="12.75">
      <c r="A2" s="3" t="s">
        <v>352</v>
      </c>
      <c r="B2" s="23">
        <v>2.5</v>
      </c>
      <c r="C2" s="4" t="s">
        <v>18</v>
      </c>
    </row>
    <row r="3" spans="1:16" ht="12.75">
      <c r="A3" s="3" t="s">
        <v>353</v>
      </c>
      <c r="B3" s="23">
        <v>70</v>
      </c>
      <c r="C3" s="4" t="s">
        <v>354</v>
      </c>
    </row>
    <row r="4" spans="1:16" ht="12.75">
      <c r="A4" s="40"/>
      <c r="C4" s="4"/>
    </row>
    <row r="5" spans="1:16" ht="12.75">
      <c r="A5" s="6" t="s">
        <v>355</v>
      </c>
      <c r="B5" s="94">
        <f>(B2/B3)</f>
        <v>3.5714285714285712E-2</v>
      </c>
      <c r="C5" s="7" t="s">
        <v>273</v>
      </c>
    </row>
    <row r="6" spans="1:16" ht="12.75">
      <c r="A6" s="15"/>
      <c r="B6" s="95"/>
      <c r="C6" s="8"/>
    </row>
    <row r="7" spans="1:16" ht="12.75">
      <c r="A7" s="297" t="s">
        <v>356</v>
      </c>
      <c r="B7" s="298"/>
      <c r="C7" s="298"/>
      <c r="D7" s="190"/>
      <c r="E7" s="190"/>
      <c r="F7" s="190"/>
      <c r="G7" s="191"/>
      <c r="H7" s="191"/>
      <c r="I7" s="191"/>
      <c r="J7" s="191"/>
      <c r="K7" s="191"/>
      <c r="L7" s="191"/>
      <c r="M7" s="191"/>
      <c r="N7" s="191"/>
      <c r="O7" s="191"/>
      <c r="P7" s="192"/>
    </row>
    <row r="8" spans="1:16" ht="12.75">
      <c r="A8" s="149" t="s">
        <v>357</v>
      </c>
      <c r="B8" s="299" t="s">
        <v>251</v>
      </c>
      <c r="C8" s="207"/>
      <c r="D8" s="10" t="s">
        <v>358</v>
      </c>
      <c r="E8" s="10" t="s">
        <v>359</v>
      </c>
      <c r="F8" s="8"/>
      <c r="P8" s="179"/>
    </row>
    <row r="9" spans="1:16" ht="12.75">
      <c r="A9" s="193" t="s">
        <v>430</v>
      </c>
      <c r="B9" s="152">
        <f>B5</f>
        <v>3.5714285714285712E-2</v>
      </c>
      <c r="C9" s="8" t="s">
        <v>273</v>
      </c>
      <c r="D9" s="10">
        <v>1</v>
      </c>
      <c r="E9" s="189" t="s">
        <v>431</v>
      </c>
      <c r="F9" s="115"/>
      <c r="G9" s="115"/>
      <c r="H9" s="115"/>
      <c r="I9" s="115"/>
      <c r="J9" s="115"/>
      <c r="K9" s="115"/>
      <c r="L9" s="115"/>
      <c r="M9" s="115"/>
      <c r="P9" s="179"/>
    </row>
    <row r="10" spans="1:16" ht="12.75">
      <c r="A10" s="151" t="s">
        <v>360</v>
      </c>
      <c r="B10" s="152">
        <f>B5/2</f>
        <v>1.7857142857142856E-2</v>
      </c>
      <c r="C10" s="8" t="s">
        <v>273</v>
      </c>
      <c r="D10" s="11">
        <v>2</v>
      </c>
      <c r="E10" s="8" t="s">
        <v>361</v>
      </c>
      <c r="F10" s="189" t="s">
        <v>436</v>
      </c>
      <c r="P10" s="179"/>
    </row>
    <row r="11" spans="1:16" ht="12.75">
      <c r="A11" s="151" t="s">
        <v>362</v>
      </c>
      <c r="B11" s="152">
        <f>B5/3</f>
        <v>1.1904761904761904E-2</v>
      </c>
      <c r="C11" s="8" t="s">
        <v>273</v>
      </c>
      <c r="D11" s="11">
        <v>3</v>
      </c>
      <c r="E11" s="8" t="s">
        <v>363</v>
      </c>
      <c r="F11" s="189" t="s">
        <v>432</v>
      </c>
      <c r="P11" s="179"/>
    </row>
    <row r="12" spans="1:16" ht="12.75">
      <c r="A12" s="151" t="s">
        <v>364</v>
      </c>
      <c r="B12" s="152">
        <f>B5/6</f>
        <v>5.9523809523809521E-3</v>
      </c>
      <c r="C12" s="8" t="s">
        <v>273</v>
      </c>
      <c r="D12" s="11" t="s">
        <v>365</v>
      </c>
      <c r="E12" s="189" t="s">
        <v>433</v>
      </c>
      <c r="F12" s="8" t="s">
        <v>366</v>
      </c>
      <c r="P12" s="179"/>
    </row>
    <row r="13" spans="1:16" ht="12.75">
      <c r="A13" s="151" t="s">
        <v>367</v>
      </c>
      <c r="B13" s="152">
        <f>B5/7</f>
        <v>5.1020408163265302E-3</v>
      </c>
      <c r="C13" s="8" t="s">
        <v>273</v>
      </c>
      <c r="D13" s="11">
        <v>7</v>
      </c>
      <c r="E13" s="189" t="s">
        <v>368</v>
      </c>
      <c r="F13" s="8" t="s">
        <v>369</v>
      </c>
      <c r="P13" s="179"/>
    </row>
    <row r="14" spans="1:16" ht="12.75">
      <c r="A14" s="151" t="s">
        <v>370</v>
      </c>
      <c r="B14" s="152">
        <f>B5/8</f>
        <v>4.464285714285714E-3</v>
      </c>
      <c r="C14" s="8" t="s">
        <v>273</v>
      </c>
      <c r="D14" s="11">
        <v>8</v>
      </c>
      <c r="E14" s="8" t="s">
        <v>371</v>
      </c>
      <c r="F14" s="189" t="s">
        <v>434</v>
      </c>
      <c r="P14" s="179"/>
    </row>
    <row r="15" spans="1:16" ht="12.75">
      <c r="A15" s="160" t="s">
        <v>372</v>
      </c>
      <c r="B15" s="195">
        <f>B5/9</f>
        <v>3.968253968253968E-3</v>
      </c>
      <c r="C15" s="194" t="s">
        <v>273</v>
      </c>
      <c r="D15" s="196">
        <v>9</v>
      </c>
      <c r="E15" s="194" t="s">
        <v>373</v>
      </c>
      <c r="F15" s="194" t="s">
        <v>374</v>
      </c>
      <c r="G15" s="182"/>
      <c r="H15" s="182"/>
      <c r="I15" s="182"/>
      <c r="J15" s="182"/>
      <c r="K15" s="182"/>
      <c r="L15" s="182"/>
      <c r="M15" s="182"/>
      <c r="N15" s="182"/>
      <c r="O15" s="182"/>
      <c r="P15" s="183"/>
    </row>
    <row r="16" spans="1:16" ht="12.75">
      <c r="A16" s="8"/>
      <c r="B16" s="8"/>
      <c r="C16" s="8"/>
    </row>
    <row r="17" spans="1:4" ht="12.75">
      <c r="A17" s="8" t="s">
        <v>375</v>
      </c>
      <c r="B17" s="8"/>
    </row>
    <row r="18" spans="1:4" ht="12.75">
      <c r="A18" s="8" t="s">
        <v>376</v>
      </c>
      <c r="B18" s="8" t="s">
        <v>377</v>
      </c>
    </row>
    <row r="19" spans="1:4" ht="12.75">
      <c r="A19" s="8" t="s">
        <v>378</v>
      </c>
      <c r="B19" s="11" t="s">
        <v>379</v>
      </c>
      <c r="C19" s="189" t="s">
        <v>435</v>
      </c>
    </row>
    <row r="20" spans="1:4" ht="12.75">
      <c r="A20" s="8" t="s">
        <v>380</v>
      </c>
      <c r="B20" s="11">
        <v>1</v>
      </c>
      <c r="C20" s="8" t="s">
        <v>381</v>
      </c>
    </row>
    <row r="21" spans="1:4" ht="12.75">
      <c r="A21" s="8" t="s">
        <v>382</v>
      </c>
      <c r="B21" s="11">
        <v>1</v>
      </c>
      <c r="C21" s="8" t="s">
        <v>383</v>
      </c>
    </row>
    <row r="22" spans="1:4" ht="12.75">
      <c r="A22" s="8" t="s">
        <v>384</v>
      </c>
      <c r="B22" s="11">
        <v>3</v>
      </c>
      <c r="C22" s="8" t="s">
        <v>385</v>
      </c>
    </row>
    <row r="23" spans="1:4" ht="12.75">
      <c r="A23" s="8" t="s">
        <v>386</v>
      </c>
      <c r="B23" s="11">
        <v>1</v>
      </c>
      <c r="C23" s="8" t="s">
        <v>387</v>
      </c>
    </row>
    <row r="24" spans="1:4" ht="12.75">
      <c r="A24" s="8" t="s">
        <v>388</v>
      </c>
      <c r="B24" s="11" t="s">
        <v>389</v>
      </c>
      <c r="C24" s="8" t="s">
        <v>390</v>
      </c>
    </row>
    <row r="27" spans="1:4" ht="15.75" customHeight="1">
      <c r="A27" s="63" t="s">
        <v>274</v>
      </c>
      <c r="B27" s="219" t="s">
        <v>429</v>
      </c>
      <c r="C27" s="219"/>
      <c r="D27" s="219"/>
    </row>
    <row r="28" spans="1:4" ht="15.75" customHeight="1">
      <c r="A28" s="64" t="s">
        <v>275</v>
      </c>
      <c r="B28" s="219"/>
      <c r="C28" s="219"/>
      <c r="D28" s="219"/>
    </row>
    <row r="29" spans="1:4" ht="15.75" customHeight="1">
      <c r="A29" s="65" t="s">
        <v>276</v>
      </c>
      <c r="B29" s="219"/>
      <c r="C29" s="219"/>
      <c r="D29" s="219"/>
    </row>
  </sheetData>
  <mergeCells count="4">
    <mergeCell ref="A1:C1"/>
    <mergeCell ref="A7:C7"/>
    <mergeCell ref="B8:C8"/>
    <mergeCell ref="B27:D29"/>
  </mergeCells>
  <printOptions horizontalCentered="1"/>
  <pageMargins left="0.7" right="0.7" top="0.75" bottom="0.75" header="0" footer="0"/>
  <pageSetup pageOrder="overThenDown"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pageSetUpPr fitToPage="1"/>
  </sheetPr>
  <dimension ref="A1:N34"/>
  <sheetViews>
    <sheetView tabSelected="1" workbookViewId="0">
      <selection activeCell="J35" sqref="J35"/>
    </sheetView>
  </sheetViews>
  <sheetFormatPr defaultColWidth="12.5703125" defaultRowHeight="15.75" customHeight="1"/>
  <cols>
    <col min="1" max="1" width="30.5703125" customWidth="1"/>
    <col min="3" max="3" width="11.85546875" customWidth="1"/>
    <col min="4" max="4" width="7.85546875" customWidth="1"/>
    <col min="5" max="5" width="19.7109375" customWidth="1"/>
    <col min="6" max="6" width="4.7109375" customWidth="1"/>
    <col min="7" max="7" width="13.42578125" customWidth="1"/>
    <col min="8" max="8" width="7.140625" customWidth="1"/>
  </cols>
  <sheetData>
    <row r="1" spans="1:10" ht="12.75">
      <c r="A1" s="301" t="s">
        <v>351</v>
      </c>
      <c r="B1" s="261"/>
      <c r="C1" s="262"/>
    </row>
    <row r="2" spans="1:10" ht="12.75">
      <c r="A2" s="97" t="s">
        <v>346</v>
      </c>
      <c r="B2" s="23">
        <v>9500</v>
      </c>
      <c r="C2" s="39" t="s">
        <v>4</v>
      </c>
      <c r="E2" s="98">
        <v>2000</v>
      </c>
      <c r="F2" s="8" t="s">
        <v>391</v>
      </c>
    </row>
    <row r="3" spans="1:10" ht="12.75">
      <c r="A3" s="97" t="s">
        <v>197</v>
      </c>
      <c r="B3" s="92">
        <f>300/B2</f>
        <v>3.1578947368421054E-2</v>
      </c>
      <c r="C3" s="39" t="s">
        <v>194</v>
      </c>
      <c r="E3" s="90">
        <f>E2/B6</f>
        <v>61.342087485202327</v>
      </c>
      <c r="F3" s="8" t="s">
        <v>350</v>
      </c>
    </row>
    <row r="4" spans="1:10" ht="12.75">
      <c r="A4" s="97" t="s">
        <v>352</v>
      </c>
      <c r="B4" s="23">
        <v>3</v>
      </c>
      <c r="C4" s="39" t="s">
        <v>18</v>
      </c>
      <c r="E4" s="90">
        <f>E3*1.15078</f>
        <v>70.591247436221124</v>
      </c>
      <c r="F4" s="8" t="s">
        <v>392</v>
      </c>
    </row>
    <row r="5" spans="1:10" ht="12.75">
      <c r="A5" s="97" t="s">
        <v>353</v>
      </c>
      <c r="B5" s="23">
        <v>70</v>
      </c>
      <c r="C5" s="39" t="s">
        <v>354</v>
      </c>
    </row>
    <row r="6" spans="1:10" ht="12.75">
      <c r="A6" s="97" t="s">
        <v>134</v>
      </c>
      <c r="B6" s="99">
        <f>(($B$2*1000000)*((299792400+0.5144444*2)/299792400))-($B$2*1000000)</f>
        <v>32.604042053222656</v>
      </c>
      <c r="C6" s="39" t="s">
        <v>347</v>
      </c>
      <c r="E6" s="302" t="s">
        <v>393</v>
      </c>
      <c r="F6" s="207"/>
      <c r="G6" s="207"/>
      <c r="H6" s="207"/>
    </row>
    <row r="7" spans="1:10" ht="12.75">
      <c r="A7" s="100" t="s">
        <v>355</v>
      </c>
      <c r="B7" s="96">
        <f>(B4/B5)</f>
        <v>4.2857142857142858E-2</v>
      </c>
      <c r="C7" s="42" t="s">
        <v>273</v>
      </c>
      <c r="J7" s="188"/>
    </row>
    <row r="8" spans="1:10" ht="12.75">
      <c r="A8" s="15"/>
      <c r="B8" s="95"/>
      <c r="C8" s="8"/>
    </row>
    <row r="9" spans="1:10" ht="12.75">
      <c r="A9" s="303" t="s">
        <v>356</v>
      </c>
      <c r="B9" s="304"/>
      <c r="C9" s="304"/>
      <c r="D9" s="305"/>
      <c r="E9" s="306" t="s">
        <v>394</v>
      </c>
      <c r="F9" s="298"/>
      <c r="G9" s="298"/>
      <c r="H9" s="307"/>
    </row>
    <row r="10" spans="1:10" ht="12.75">
      <c r="A10" s="149" t="s">
        <v>357</v>
      </c>
      <c r="B10" s="299" t="s">
        <v>251</v>
      </c>
      <c r="C10" s="207"/>
      <c r="D10" s="10" t="s">
        <v>358</v>
      </c>
      <c r="E10" s="101" t="s">
        <v>395</v>
      </c>
      <c r="F10" s="102" t="s">
        <v>396</v>
      </c>
      <c r="G10" s="103" t="s">
        <v>397</v>
      </c>
      <c r="H10" s="150" t="s">
        <v>396</v>
      </c>
    </row>
    <row r="11" spans="1:10" ht="12.75">
      <c r="A11" s="151" t="s">
        <v>360</v>
      </c>
      <c r="B11" s="152">
        <f>B7</f>
        <v>4.2857142857142858E-2</v>
      </c>
      <c r="C11" s="153" t="s">
        <v>273</v>
      </c>
      <c r="D11" s="154">
        <v>1</v>
      </c>
      <c r="E11" s="147">
        <f t="shared" ref="E11:E16" si="0">1/B11</f>
        <v>23.333333333333332</v>
      </c>
      <c r="F11" s="104" t="s">
        <v>211</v>
      </c>
      <c r="G11" s="105">
        <f t="shared" ref="G11:G16" si="1">E11/$B$6</f>
        <v>0.71565768732736046</v>
      </c>
      <c r="H11" s="155" t="s">
        <v>350</v>
      </c>
    </row>
    <row r="12" spans="1:10" ht="12.75">
      <c r="A12" s="151" t="s">
        <v>362</v>
      </c>
      <c r="B12" s="156">
        <f>B7/3</f>
        <v>1.4285714285714285E-2</v>
      </c>
      <c r="C12" s="157" t="s">
        <v>273</v>
      </c>
      <c r="D12" s="158">
        <v>3</v>
      </c>
      <c r="E12" s="148">
        <f t="shared" si="0"/>
        <v>70</v>
      </c>
      <c r="F12" s="106" t="s">
        <v>211</v>
      </c>
      <c r="G12" s="107">
        <f t="shared" si="1"/>
        <v>2.1469730619820817</v>
      </c>
      <c r="H12" s="159" t="s">
        <v>350</v>
      </c>
    </row>
    <row r="13" spans="1:10" ht="12.75">
      <c r="A13" s="151" t="s">
        <v>364</v>
      </c>
      <c r="B13" s="152">
        <f>B7/6</f>
        <v>7.1428571428571426E-3</v>
      </c>
      <c r="C13" s="153" t="s">
        <v>273</v>
      </c>
      <c r="D13" s="154" t="s">
        <v>365</v>
      </c>
      <c r="E13" s="147">
        <f t="shared" si="0"/>
        <v>140</v>
      </c>
      <c r="F13" s="104" t="s">
        <v>211</v>
      </c>
      <c r="G13" s="105">
        <f t="shared" si="1"/>
        <v>4.2939461239641634</v>
      </c>
      <c r="H13" s="155" t="s">
        <v>350</v>
      </c>
    </row>
    <row r="14" spans="1:10" ht="12.75">
      <c r="A14" s="151" t="s">
        <v>367</v>
      </c>
      <c r="B14" s="156">
        <f>B7/7</f>
        <v>6.1224489795918364E-3</v>
      </c>
      <c r="C14" s="157" t="s">
        <v>273</v>
      </c>
      <c r="D14" s="158">
        <v>7</v>
      </c>
      <c r="E14" s="148">
        <f t="shared" si="0"/>
        <v>163.33333333333334</v>
      </c>
      <c r="F14" s="106" t="s">
        <v>211</v>
      </c>
      <c r="G14" s="107">
        <f t="shared" si="1"/>
        <v>5.009603811291524</v>
      </c>
      <c r="H14" s="159" t="s">
        <v>350</v>
      </c>
    </row>
    <row r="15" spans="1:10" ht="12.75">
      <c r="A15" s="151" t="s">
        <v>370</v>
      </c>
      <c r="B15" s="152">
        <f>B7/8</f>
        <v>5.3571428571428572E-3</v>
      </c>
      <c r="C15" s="153" t="s">
        <v>273</v>
      </c>
      <c r="D15" s="154">
        <v>8</v>
      </c>
      <c r="E15" s="147">
        <f t="shared" si="0"/>
        <v>186.66666666666666</v>
      </c>
      <c r="F15" s="104" t="s">
        <v>211</v>
      </c>
      <c r="G15" s="105">
        <f t="shared" si="1"/>
        <v>5.7252614986188837</v>
      </c>
      <c r="H15" s="155" t="s">
        <v>350</v>
      </c>
    </row>
    <row r="16" spans="1:10" ht="12.75">
      <c r="A16" s="160" t="s">
        <v>372</v>
      </c>
      <c r="B16" s="161">
        <f>B7/9</f>
        <v>4.7619047619047623E-3</v>
      </c>
      <c r="C16" s="162" t="s">
        <v>273</v>
      </c>
      <c r="D16" s="163">
        <v>9</v>
      </c>
      <c r="E16" s="164">
        <f t="shared" si="0"/>
        <v>209.99999999999997</v>
      </c>
      <c r="F16" s="165" t="s">
        <v>211</v>
      </c>
      <c r="G16" s="166">
        <f t="shared" si="1"/>
        <v>6.4409191859462442</v>
      </c>
      <c r="H16" s="167" t="s">
        <v>350</v>
      </c>
    </row>
    <row r="17" spans="1:14" ht="12.75">
      <c r="A17" s="8"/>
      <c r="B17" s="8"/>
      <c r="C17" s="8"/>
      <c r="E17" s="5" t="s">
        <v>398</v>
      </c>
    </row>
    <row r="18" spans="1:14" ht="12.75">
      <c r="A18" s="108" t="s">
        <v>399</v>
      </c>
      <c r="B18" s="23">
        <v>300000</v>
      </c>
      <c r="C18" s="61" t="s">
        <v>211</v>
      </c>
    </row>
    <row r="19" spans="1:14" ht="12.75">
      <c r="A19" s="108" t="s">
        <v>400</v>
      </c>
      <c r="B19" s="109"/>
      <c r="C19" s="61" t="s">
        <v>212</v>
      </c>
      <c r="H19" s="300" t="s">
        <v>403</v>
      </c>
      <c r="I19" s="300"/>
      <c r="J19" s="300"/>
      <c r="K19" s="300"/>
      <c r="L19" s="300"/>
    </row>
    <row r="20" spans="1:14" ht="12.75">
      <c r="A20" s="108" t="s">
        <v>401</v>
      </c>
      <c r="B20" s="91">
        <f>IF(B18=0,1000000/B19,B18)</f>
        <v>300000</v>
      </c>
      <c r="C20" s="61" t="s">
        <v>211</v>
      </c>
      <c r="H20" s="300"/>
      <c r="I20" s="300"/>
      <c r="J20" s="300"/>
      <c r="K20" s="300"/>
      <c r="L20" s="300"/>
    </row>
    <row r="21" spans="1:14" ht="12.75">
      <c r="A21" s="110" t="s">
        <v>348</v>
      </c>
      <c r="B21" s="111">
        <f>B20/2</f>
        <v>150000</v>
      </c>
      <c r="C21" s="93" t="s">
        <v>211</v>
      </c>
      <c r="D21" s="112" t="s">
        <v>402</v>
      </c>
      <c r="H21" s="300"/>
      <c r="I21" s="300"/>
      <c r="J21" s="300"/>
      <c r="K21" s="300"/>
      <c r="L21" s="300"/>
      <c r="N21" s="12"/>
    </row>
    <row r="22" spans="1:14" ht="12.75">
      <c r="A22" s="108" t="s">
        <v>349</v>
      </c>
      <c r="B22" s="113">
        <f>B21/B6</f>
        <v>4600.6565613901748</v>
      </c>
      <c r="C22" s="61" t="s">
        <v>350</v>
      </c>
      <c r="D22" s="22" t="s">
        <v>404</v>
      </c>
      <c r="H22" s="12"/>
      <c r="I22" s="12"/>
      <c r="J22" s="12"/>
      <c r="K22" s="12"/>
      <c r="L22" s="12"/>
      <c r="N22" s="12"/>
    </row>
    <row r="23" spans="1:14" ht="12.75">
      <c r="A23" s="108" t="s">
        <v>150</v>
      </c>
      <c r="B23" s="113">
        <f>B3/(2*(1/B20))</f>
        <v>4736.8421052631584</v>
      </c>
      <c r="C23" s="61" t="s">
        <v>192</v>
      </c>
      <c r="D23" s="22" t="s">
        <v>405</v>
      </c>
      <c r="H23" s="300" t="s">
        <v>406</v>
      </c>
      <c r="I23" s="300"/>
      <c r="J23" s="300"/>
      <c r="K23" s="300"/>
      <c r="L23" s="300"/>
    </row>
    <row r="24" spans="1:14" ht="12.75">
      <c r="A24" s="108" t="s">
        <v>407</v>
      </c>
      <c r="B24" s="113">
        <f>B23*1.94384</f>
        <v>9207.6631578947381</v>
      </c>
      <c r="C24" s="61" t="s">
        <v>350</v>
      </c>
      <c r="D24" s="22" t="s">
        <v>408</v>
      </c>
      <c r="H24" s="300"/>
      <c r="I24" s="300"/>
      <c r="J24" s="300"/>
      <c r="K24" s="300"/>
      <c r="L24" s="300"/>
    </row>
    <row r="25" spans="1:14" ht="12.75">
      <c r="A25" s="108"/>
      <c r="B25" s="9"/>
      <c r="H25" s="187"/>
      <c r="I25" s="187"/>
      <c r="J25" s="187"/>
      <c r="K25" s="187"/>
      <c r="L25" s="187"/>
    </row>
    <row r="26" spans="1:14" ht="12.75">
      <c r="A26" s="108" t="s">
        <v>409</v>
      </c>
      <c r="B26" s="23">
        <v>464</v>
      </c>
      <c r="C26" s="61" t="s">
        <v>350</v>
      </c>
    </row>
    <row r="27" spans="1:14" ht="12.75">
      <c r="A27" s="108" t="s">
        <v>409</v>
      </c>
      <c r="B27" s="91">
        <f>B26*0.514444</f>
        <v>238.70201600000001</v>
      </c>
      <c r="C27" s="61" t="s">
        <v>192</v>
      </c>
    </row>
    <row r="28" spans="1:14" ht="12.75">
      <c r="A28" s="108" t="s">
        <v>410</v>
      </c>
      <c r="B28" s="90">
        <f>-2*B27/B3</f>
        <v>-15117.794346666667</v>
      </c>
      <c r="C28" s="114" t="s">
        <v>411</v>
      </c>
      <c r="D28" s="91">
        <f>2*B27/B3</f>
        <v>15117.794346666667</v>
      </c>
      <c r="E28" s="61" t="s">
        <v>211</v>
      </c>
    </row>
    <row r="29" spans="1:14" ht="12.75">
      <c r="A29" s="108" t="s">
        <v>410</v>
      </c>
      <c r="B29" s="91">
        <f>B28/B6</f>
        <v>-463.67853169826196</v>
      </c>
      <c r="C29" s="114" t="s">
        <v>411</v>
      </c>
      <c r="D29" s="91">
        <f>D28/B6</f>
        <v>463.67853169826196</v>
      </c>
      <c r="E29" s="61" t="s">
        <v>350</v>
      </c>
    </row>
    <row r="30" spans="1:14" ht="12.75">
      <c r="A30" s="108" t="s">
        <v>412</v>
      </c>
      <c r="B30" s="91">
        <f>B18+B28</f>
        <v>284882.20565333334</v>
      </c>
      <c r="C30" s="61" t="s">
        <v>211</v>
      </c>
    </row>
    <row r="32" spans="1:14" ht="15.75" customHeight="1">
      <c r="A32" s="63" t="s">
        <v>274</v>
      </c>
      <c r="B32" s="219" t="s">
        <v>429</v>
      </c>
      <c r="C32" s="219"/>
      <c r="D32" s="219"/>
    </row>
    <row r="33" spans="1:4" ht="15.75" customHeight="1">
      <c r="A33" s="64" t="s">
        <v>275</v>
      </c>
      <c r="B33" s="219"/>
      <c r="C33" s="219"/>
      <c r="D33" s="219"/>
    </row>
    <row r="34" spans="1:4" ht="12.75">
      <c r="A34" s="65" t="s">
        <v>276</v>
      </c>
      <c r="B34" s="219"/>
      <c r="C34" s="219"/>
      <c r="D34" s="219"/>
    </row>
  </sheetData>
  <mergeCells count="8">
    <mergeCell ref="H23:L24"/>
    <mergeCell ref="B32:D34"/>
    <mergeCell ref="H19:L21"/>
    <mergeCell ref="A1:C1"/>
    <mergeCell ref="E6:H6"/>
    <mergeCell ref="A9:D9"/>
    <mergeCell ref="E9:H9"/>
    <mergeCell ref="B10:C10"/>
  </mergeCells>
  <printOptions horizontalCentered="1"/>
  <pageMargins left="0.7" right="0.7" top="0.75" bottom="0.75" header="0" footer="0"/>
  <pageSetup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Formulas</vt:lpstr>
      <vt:lpstr>Basic Range Equation</vt:lpstr>
      <vt:lpstr>Basic SNR Equation</vt:lpstr>
      <vt:lpstr>Find RF</vt:lpstr>
      <vt:lpstr>Planar Antenna Gain</vt:lpstr>
      <vt:lpstr>Losses</vt:lpstr>
      <vt:lpstr>Time on Target</vt:lpstr>
      <vt:lpstr>Doppler Resolution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James</cp:lastModifiedBy>
  <dcterms:modified xsi:type="dcterms:W3CDTF">2023-06-29T23:44:55Z</dcterms:modified>
</cp:coreProperties>
</file>